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10" windowWidth="19440" windowHeight="7875"/>
  </bookViews>
  <sheets>
    <sheet name="Output Summary" sheetId="2" r:id="rId1"/>
    <sheet name="Data" sheetId="1" r:id="rId2"/>
    <sheet name="Sheet3" sheetId="3" r:id="rId3"/>
  </sheets>
  <definedNames>
    <definedName name="_xlnm.Print_Area" localSheetId="1">Data!$A$1:$AB$190</definedName>
  </definedNames>
  <calcPr calcId="125725"/>
</workbook>
</file>

<file path=xl/calcChain.xml><?xml version="1.0" encoding="utf-8"?>
<calcChain xmlns="http://schemas.openxmlformats.org/spreadsheetml/2006/main">
  <c r="F17" i="2"/>
  <c r="G60" i="1"/>
  <c r="I60" s="1"/>
  <c r="J60" s="1"/>
  <c r="H60"/>
  <c r="K60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E60"/>
  <c r="F60"/>
  <c r="I72"/>
  <c r="H72" l="1"/>
  <c r="G72" s="1"/>
  <c r="O27" i="2" l="1"/>
  <c r="J26"/>
  <c r="O26" s="1"/>
  <c r="F16"/>
  <c r="G59" i="1"/>
  <c r="I59" s="1"/>
  <c r="J59" s="1"/>
  <c r="H59"/>
  <c r="C61"/>
  <c r="B61"/>
  <c r="C60"/>
  <c r="B60" s="1"/>
  <c r="C59"/>
  <c r="B59"/>
  <c r="E59"/>
  <c r="F59"/>
  <c r="G76"/>
  <c r="H76"/>
  <c r="I76"/>
  <c r="M27" i="2" l="1"/>
  <c r="M26"/>
  <c r="J25"/>
  <c r="O25" s="1"/>
  <c r="J24"/>
  <c r="O24" s="1"/>
  <c r="J23"/>
  <c r="O23" s="1"/>
  <c r="J22"/>
  <c r="M22" s="1"/>
  <c r="J21"/>
  <c r="M21" s="1"/>
  <c r="J20"/>
  <c r="M20" s="1"/>
  <c r="J19"/>
  <c r="M19" s="1"/>
  <c r="J18"/>
  <c r="M18" s="1"/>
  <c r="J17"/>
  <c r="M17" s="1"/>
  <c r="J16"/>
  <c r="M16" s="1"/>
  <c r="J15"/>
  <c r="M15" s="1"/>
  <c r="J14"/>
  <c r="M14" s="1"/>
  <c r="O14" s="1"/>
  <c r="J13"/>
  <c r="M13" s="1"/>
  <c r="O13" s="1"/>
  <c r="J12"/>
  <c r="M12" s="1"/>
  <c r="J11"/>
  <c r="M11" s="1"/>
  <c r="C7"/>
  <c r="E7"/>
  <c r="C8"/>
  <c r="E8"/>
  <c r="C9"/>
  <c r="D9"/>
  <c r="D19" s="1"/>
  <c r="F9"/>
  <c r="C10"/>
  <c r="C11"/>
  <c r="E11"/>
  <c r="C12"/>
  <c r="E12"/>
  <c r="F12"/>
  <c r="C13"/>
  <c r="E13"/>
  <c r="C14"/>
  <c r="C15"/>
  <c r="B16"/>
  <c r="C16"/>
  <c r="B17"/>
  <c r="C17"/>
  <c r="B18"/>
  <c r="C18"/>
  <c r="O12" l="1"/>
  <c r="O17"/>
  <c r="O22"/>
  <c r="O15"/>
  <c r="O19"/>
  <c r="O16"/>
  <c r="F19"/>
  <c r="M23"/>
  <c r="M24"/>
  <c r="M25"/>
  <c r="B19"/>
  <c r="E19"/>
  <c r="C19"/>
  <c r="E58" i="1"/>
  <c r="F58"/>
  <c r="C58" s="1"/>
  <c r="H79"/>
  <c r="I79"/>
  <c r="G79" s="1"/>
  <c r="P13" i="2" l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B58" i="1"/>
  <c r="G58"/>
  <c r="B20" i="2"/>
  <c r="E57" i="1"/>
  <c r="F57"/>
  <c r="C57" s="1"/>
  <c r="I83"/>
  <c r="H83"/>
  <c r="G83"/>
  <c r="G56"/>
  <c r="H56"/>
  <c r="I56"/>
  <c r="H57" s="1"/>
  <c r="J56"/>
  <c r="E56"/>
  <c r="C56"/>
  <c r="B56"/>
  <c r="F56"/>
  <c r="I88"/>
  <c r="H88"/>
  <c r="G88"/>
  <c r="I92"/>
  <c r="G92"/>
  <c r="E55"/>
  <c r="C55"/>
  <c r="B55"/>
  <c r="G55"/>
  <c r="H55"/>
  <c r="I55"/>
  <c r="J55"/>
  <c r="F55"/>
  <c r="H92"/>
  <c r="C54"/>
  <c r="B54"/>
  <c r="G54"/>
  <c r="H54"/>
  <c r="I54"/>
  <c r="J54"/>
  <c r="E54"/>
  <c r="F54"/>
  <c r="I96"/>
  <c r="H96"/>
  <c r="G96"/>
  <c r="G53"/>
  <c r="H53"/>
  <c r="I53"/>
  <c r="J53"/>
  <c r="C53"/>
  <c r="B53"/>
  <c r="E53"/>
  <c r="I101"/>
  <c r="H101"/>
  <c r="G101"/>
  <c r="C52"/>
  <c r="B52"/>
  <c r="G52"/>
  <c r="H52"/>
  <c r="I52"/>
  <c r="J52"/>
  <c r="F53"/>
  <c r="E52"/>
  <c r="I105"/>
  <c r="H105"/>
  <c r="G105"/>
  <c r="G51"/>
  <c r="H51"/>
  <c r="I51"/>
  <c r="J51"/>
  <c r="C51"/>
  <c r="B51"/>
  <c r="E51"/>
  <c r="F52"/>
  <c r="F51"/>
  <c r="I109"/>
  <c r="H109"/>
  <c r="G109"/>
  <c r="I113"/>
  <c r="G113"/>
  <c r="E50"/>
  <c r="C50"/>
  <c r="G50"/>
  <c r="H50"/>
  <c r="I50"/>
  <c r="J50"/>
  <c r="B50"/>
  <c r="H113"/>
  <c r="F50"/>
  <c r="G49"/>
  <c r="I49"/>
  <c r="J49"/>
  <c r="H49"/>
  <c r="E49"/>
  <c r="I119"/>
  <c r="H119"/>
  <c r="G119"/>
  <c r="I123"/>
  <c r="H48"/>
  <c r="H123"/>
  <c r="G123"/>
  <c r="E48"/>
  <c r="C48"/>
  <c r="G48"/>
  <c r="I48"/>
  <c r="J48"/>
  <c r="E47"/>
  <c r="F48"/>
  <c r="H47"/>
  <c r="F49"/>
  <c r="C49"/>
  <c r="F47"/>
  <c r="I127"/>
  <c r="C47"/>
  <c r="B48"/>
  <c r="B49"/>
  <c r="H127"/>
  <c r="G47"/>
  <c r="I47"/>
  <c r="B47"/>
  <c r="G127"/>
  <c r="J47"/>
  <c r="E46"/>
  <c r="F46"/>
  <c r="I132"/>
  <c r="H132"/>
  <c r="G132"/>
  <c r="I137"/>
  <c r="F45"/>
  <c r="G137"/>
  <c r="E45"/>
  <c r="C46"/>
  <c r="B46"/>
  <c r="C45"/>
  <c r="B45"/>
  <c r="C44"/>
  <c r="B44"/>
  <c r="E44"/>
  <c r="F44"/>
  <c r="G44"/>
  <c r="H44"/>
  <c r="I44"/>
  <c r="I142"/>
  <c r="G46"/>
  <c r="G45"/>
  <c r="J44"/>
  <c r="H45"/>
  <c r="H142"/>
  <c r="G142"/>
  <c r="I45"/>
  <c r="J45"/>
  <c r="C43"/>
  <c r="B43"/>
  <c r="G43"/>
  <c r="I43"/>
  <c r="J43"/>
  <c r="H43"/>
  <c r="E43"/>
  <c r="I146"/>
  <c r="H46"/>
  <c r="I46"/>
  <c r="J46"/>
  <c r="H146"/>
  <c r="G146"/>
  <c r="C42"/>
  <c r="B42"/>
  <c r="G42"/>
  <c r="H42"/>
  <c r="I42"/>
  <c r="J42"/>
  <c r="E42"/>
  <c r="I150"/>
  <c r="H150"/>
  <c r="G150"/>
  <c r="C41"/>
  <c r="B41"/>
  <c r="H41"/>
  <c r="E41"/>
  <c r="I154"/>
  <c r="H154"/>
  <c r="G154"/>
  <c r="F43"/>
  <c r="G41"/>
  <c r="I41"/>
  <c r="F41"/>
  <c r="F42"/>
  <c r="G40"/>
  <c r="H40"/>
  <c r="I40"/>
  <c r="J40"/>
  <c r="E40"/>
  <c r="F40"/>
  <c r="I159"/>
  <c r="J41"/>
  <c r="H159"/>
  <c r="G159"/>
  <c r="J39"/>
  <c r="G39"/>
  <c r="I39"/>
  <c r="H39"/>
  <c r="I165"/>
  <c r="H165"/>
  <c r="G165"/>
  <c r="E39"/>
  <c r="I171"/>
  <c r="H171"/>
  <c r="F38"/>
  <c r="C40"/>
  <c r="B40"/>
  <c r="I168"/>
  <c r="H168"/>
  <c r="G168"/>
  <c r="E38"/>
  <c r="G171"/>
  <c r="C38"/>
  <c r="B38"/>
  <c r="F39"/>
  <c r="C39"/>
  <c r="B39"/>
  <c r="G38"/>
  <c r="L176"/>
  <c r="I174"/>
  <c r="H174"/>
  <c r="G174"/>
  <c r="E36"/>
  <c r="I179"/>
  <c r="C37"/>
  <c r="H179"/>
  <c r="G179"/>
  <c r="E35"/>
  <c r="F36"/>
  <c r="C36"/>
  <c r="B37"/>
  <c r="G37"/>
  <c r="B36"/>
  <c r="G36"/>
  <c r="I184"/>
  <c r="H184"/>
  <c r="G184"/>
  <c r="E34"/>
  <c r="F35"/>
  <c r="C35"/>
  <c r="B35"/>
  <c r="G35"/>
  <c r="I189"/>
  <c r="H189"/>
  <c r="G189"/>
  <c r="E33"/>
  <c r="F34"/>
  <c r="H29"/>
  <c r="I195"/>
  <c r="H195"/>
  <c r="G195"/>
  <c r="E32"/>
  <c r="F33"/>
  <c r="C34"/>
  <c r="I199"/>
  <c r="B34"/>
  <c r="G34"/>
  <c r="C33"/>
  <c r="H199"/>
  <c r="G199"/>
  <c r="E31"/>
  <c r="F32"/>
  <c r="C32"/>
  <c r="B32"/>
  <c r="G32"/>
  <c r="B33"/>
  <c r="G33"/>
  <c r="H205"/>
  <c r="I205"/>
  <c r="G205"/>
  <c r="E30"/>
  <c r="F31"/>
  <c r="H210"/>
  <c r="G210"/>
  <c r="E29"/>
  <c r="F30"/>
  <c r="C30"/>
  <c r="C31"/>
  <c r="I215"/>
  <c r="H215"/>
  <c r="B31"/>
  <c r="G31"/>
  <c r="B30"/>
  <c r="G30"/>
  <c r="G215"/>
  <c r="E28"/>
  <c r="F29"/>
  <c r="C29"/>
  <c r="I221"/>
  <c r="B29"/>
  <c r="G29"/>
  <c r="I29"/>
  <c r="H30"/>
  <c r="I30"/>
  <c r="H31"/>
  <c r="I31"/>
  <c r="H32"/>
  <c r="I32"/>
  <c r="H33"/>
  <c r="I33"/>
  <c r="H221"/>
  <c r="G221"/>
  <c r="E27"/>
  <c r="I226"/>
  <c r="H226"/>
  <c r="J33"/>
  <c r="H34"/>
  <c r="I34"/>
  <c r="F28"/>
  <c r="C28"/>
  <c r="B28"/>
  <c r="J34"/>
  <c r="H35"/>
  <c r="I35"/>
  <c r="J35"/>
  <c r="H36"/>
  <c r="I36"/>
  <c r="G226"/>
  <c r="E26"/>
  <c r="F27"/>
  <c r="C27"/>
  <c r="B27"/>
  <c r="J36"/>
  <c r="H37"/>
  <c r="I37"/>
  <c r="I232"/>
  <c r="H232"/>
  <c r="J37"/>
  <c r="H38"/>
  <c r="I38"/>
  <c r="J38"/>
  <c r="G232"/>
  <c r="E25"/>
  <c r="F26"/>
  <c r="C26"/>
  <c r="B26"/>
  <c r="I238"/>
  <c r="K37"/>
  <c r="H238"/>
  <c r="G238"/>
  <c r="E24"/>
  <c r="F25"/>
  <c r="C25"/>
  <c r="B25"/>
  <c r="K36"/>
  <c r="I242"/>
  <c r="H242"/>
  <c r="G242"/>
  <c r="E23"/>
  <c r="F24"/>
  <c r="C24"/>
  <c r="B24"/>
  <c r="K35"/>
  <c r="I247"/>
  <c r="H247"/>
  <c r="G247"/>
  <c r="E22"/>
  <c r="F23"/>
  <c r="C23"/>
  <c r="B23"/>
  <c r="I252"/>
  <c r="H252"/>
  <c r="K34"/>
  <c r="G252"/>
  <c r="E21"/>
  <c r="F22"/>
  <c r="C22"/>
  <c r="B22"/>
  <c r="I257"/>
  <c r="K33"/>
  <c r="H257"/>
  <c r="G257"/>
  <c r="E20"/>
  <c r="F21"/>
  <c r="C21"/>
  <c r="B21"/>
  <c r="I262"/>
  <c r="H262"/>
  <c r="K32"/>
  <c r="G262"/>
  <c r="E19"/>
  <c r="F20"/>
  <c r="C20"/>
  <c r="B20"/>
  <c r="I267"/>
  <c r="H267"/>
  <c r="K31"/>
  <c r="G267"/>
  <c r="E18"/>
  <c r="F19"/>
  <c r="C19"/>
  <c r="B19"/>
  <c r="K30"/>
  <c r="I272"/>
  <c r="H272"/>
  <c r="G272"/>
  <c r="E17"/>
  <c r="F18"/>
  <c r="C18"/>
  <c r="B18"/>
  <c r="I278"/>
  <c r="H278"/>
  <c r="K29"/>
  <c r="G278"/>
  <c r="H283"/>
  <c r="E16"/>
  <c r="F17"/>
  <c r="C17"/>
  <c r="B17"/>
  <c r="K28"/>
  <c r="I283"/>
  <c r="I286"/>
  <c r="H286"/>
  <c r="G286"/>
  <c r="E14"/>
  <c r="F15"/>
  <c r="G283"/>
  <c r="E15"/>
  <c r="I289"/>
  <c r="H289"/>
  <c r="G289"/>
  <c r="E13"/>
  <c r="F14"/>
  <c r="C14"/>
  <c r="B14"/>
  <c r="F16"/>
  <c r="C16"/>
  <c r="B16"/>
  <c r="C15"/>
  <c r="B15"/>
  <c r="I293"/>
  <c r="H293"/>
  <c r="K27"/>
  <c r="K26"/>
  <c r="K25"/>
  <c r="G293"/>
  <c r="E12"/>
  <c r="I299"/>
  <c r="I296"/>
  <c r="H296"/>
  <c r="H299"/>
  <c r="G296"/>
  <c r="E11"/>
  <c r="F12"/>
  <c r="C12"/>
  <c r="B12"/>
  <c r="G299"/>
  <c r="F11"/>
  <c r="F13"/>
  <c r="C13"/>
  <c r="B13"/>
  <c r="C11"/>
  <c r="B11"/>
  <c r="K23"/>
  <c r="K24"/>
  <c r="K22"/>
  <c r="L177" l="1"/>
  <c r="L178" s="1"/>
  <c r="G57"/>
  <c r="B57"/>
  <c r="I57"/>
  <c r="J57" l="1"/>
  <c r="H58" s="1"/>
  <c r="I58" s="1"/>
  <c r="J58" s="1"/>
</calcChain>
</file>

<file path=xl/sharedStrings.xml><?xml version="1.0" encoding="utf-8"?>
<sst xmlns="http://schemas.openxmlformats.org/spreadsheetml/2006/main" count="103" uniqueCount="79">
  <si>
    <t>Date</t>
  </si>
  <si>
    <t>Time</t>
  </si>
  <si>
    <t>Meter data</t>
  </si>
  <si>
    <t>Interpolations</t>
  </si>
  <si>
    <t>Meter</t>
  </si>
  <si>
    <t>Energy Production and Basis for REC calculations</t>
  </si>
  <si>
    <t>Minutes to</t>
  </si>
  <si>
    <t>Last Read</t>
  </si>
  <si>
    <t>Next Read</t>
  </si>
  <si>
    <t>MWh</t>
  </si>
  <si>
    <t>RECs</t>
  </si>
  <si>
    <t xml:space="preserve">Month end </t>
  </si>
  <si>
    <t>Month start</t>
  </si>
  <si>
    <t>Data taken from the Northern Power SmartView system</t>
  </si>
  <si>
    <t>for readings from the meter at the base of the wind turbine (net of internal losses)</t>
  </si>
  <si>
    <t>Recorded</t>
  </si>
  <si>
    <t>Meter Value</t>
  </si>
  <si>
    <t>Calculated</t>
  </si>
  <si>
    <t>REC data</t>
  </si>
  <si>
    <t>Nantucket Public School Wind Turbine:   Generating Unit # 34019</t>
  </si>
  <si>
    <t>Quarter</t>
  </si>
  <si>
    <t>Meter is an ABB TypeA1D, Reg Type D, S/N 01-167-800, FM 165 watt-hour meter, CL200 (120v to 480v, 60Hz)</t>
  </si>
  <si>
    <t>Price</t>
  </si>
  <si>
    <t>Buyer</t>
  </si>
  <si>
    <t>Amount</t>
  </si>
  <si>
    <t>Nat Grid</t>
  </si>
  <si>
    <t>Invoice</t>
  </si>
  <si>
    <t>amount</t>
  </si>
  <si>
    <t>date</t>
  </si>
  <si>
    <t>12-month</t>
  </si>
  <si>
    <t>moving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</si>
  <si>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</si>
  <si>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</si>
  <si>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</si>
  <si>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</si>
  <si>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</si>
  <si>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</si>
  <si>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</si>
  <si>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</si>
  <si>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</si>
  <si>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</si>
  <si>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</si>
  <si>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</si>
  <si>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</si>
  <si>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</si>
  <si>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MWh +</t>
  </si>
  <si>
    <t>Fractional</t>
  </si>
  <si>
    <t>Fraction</t>
  </si>
  <si>
    <t>carryover</t>
  </si>
  <si>
    <t>Unrounded</t>
  </si>
  <si>
    <t>Since start-up</t>
  </si>
  <si>
    <t>kWh</t>
  </si>
  <si>
    <t>NStar</t>
  </si>
  <si>
    <t>DOWN</t>
  </si>
  <si>
    <t>Nantucket High School</t>
  </si>
  <si>
    <t>Wind Turbine Output</t>
  </si>
  <si>
    <t>REC Production</t>
  </si>
  <si>
    <t>Value of REC Sales</t>
  </si>
  <si>
    <t>Cumulative</t>
  </si>
  <si>
    <t>4Q 2011</t>
  </si>
  <si>
    <t>1Q 2012</t>
  </si>
  <si>
    <t>2Q 2012</t>
  </si>
  <si>
    <t>Period of</t>
  </si>
  <si>
    <t>generation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</si>
  <si>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</si>
  <si>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</si>
  <si>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</si>
  <si>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</si>
  <si>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</si>
  <si>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</si>
  <si>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</si>
  <si>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</si>
  <si>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</si>
  <si>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</si>
  <si>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</si>
  <si>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</si>
  <si>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</si>
  <si>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MWh for</t>
  </si>
  <si>
    <t>4Q 2015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</si>
</sst>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(* #,##0.000_);_(* \(#,##0.000\);_(* &quot;-&quot;??_);_(@_)"/>
    <numFmt numFmtId="167" formatCode="0_);\(0\)"/>
    <numFmt numFmtId="168" formatCode="_(* #,##0.0_);_(* \(#,##0.0\);_(* &quot;-&quot;??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2" fillId="0" borderId="0" xfId="0" applyFont="1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1" applyNumberFormat="1" applyFont="1"/>
    <xf numFmtId="17" fontId="0" fillId="0" borderId="0" xfId="0" applyNumberFormat="1" applyFont="1"/>
    <xf numFmtId="164" fontId="0" fillId="2" borderId="0" xfId="1" applyNumberFormat="1" applyFont="1" applyFill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17" fontId="0" fillId="0" borderId="0" xfId="0" applyNumberFormat="1"/>
    <xf numFmtId="165" fontId="0" fillId="0" borderId="0" xfId="0" applyNumberFormat="1"/>
    <xf numFmtId="17" fontId="0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7" fontId="0" fillId="0" borderId="1" xfId="0" applyNumberFormat="1" applyBorder="1"/>
    <xf numFmtId="164" fontId="0" fillId="0" borderId="0" xfId="0" applyNumberFormat="1" applyFill="1" applyBorder="1" applyAlignment="1">
      <alignment horizontal="center"/>
    </xf>
    <xf numFmtId="164" fontId="0" fillId="4" borderId="0" xfId="1" applyNumberFormat="1" applyFont="1" applyFill="1"/>
    <xf numFmtId="164" fontId="0" fillId="0" borderId="1" xfId="0" applyNumberFormat="1" applyFill="1" applyBorder="1" applyAlignment="1">
      <alignment horizontal="center"/>
    </xf>
    <xf numFmtId="44" fontId="0" fillId="0" borderId="0" xfId="0" applyNumberFormat="1"/>
    <xf numFmtId="166" fontId="0" fillId="0" borderId="0" xfId="1" applyNumberFormat="1" applyFont="1"/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5" borderId="0" xfId="0" applyFill="1"/>
    <xf numFmtId="164" fontId="0" fillId="5" borderId="0" xfId="1" applyNumberFormat="1" applyFont="1" applyFill="1"/>
    <xf numFmtId="0" fontId="0" fillId="0" borderId="0" xfId="0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8" fontId="0" fillId="0" borderId="6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7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7" fontId="0" fillId="0" borderId="13" xfId="0" applyNumberFormat="1" applyBorder="1"/>
    <xf numFmtId="0" fontId="0" fillId="0" borderId="2" xfId="0" applyBorder="1"/>
    <xf numFmtId="164" fontId="0" fillId="0" borderId="2" xfId="0" applyNumberFormat="1" applyBorder="1"/>
    <xf numFmtId="164" fontId="0" fillId="0" borderId="14" xfId="0" applyNumberFormat="1" applyBorder="1"/>
    <xf numFmtId="17" fontId="0" fillId="0" borderId="15" xfId="0" applyNumberFormat="1" applyBorder="1"/>
    <xf numFmtId="164" fontId="0" fillId="0" borderId="16" xfId="0" applyNumberFormat="1" applyBorder="1"/>
    <xf numFmtId="17" fontId="0" fillId="0" borderId="17" xfId="0" applyNumberFormat="1" applyBorder="1"/>
    <xf numFmtId="164" fontId="0" fillId="0" borderId="18" xfId="0" applyNumberFormat="1" applyBorder="1"/>
    <xf numFmtId="167" fontId="0" fillId="0" borderId="0" xfId="0" applyNumberFormat="1" applyAlignment="1">
      <alignment horizontal="center"/>
    </xf>
    <xf numFmtId="43" fontId="6" fillId="0" borderId="0" xfId="1" applyFont="1"/>
    <xf numFmtId="164" fontId="0" fillId="0" borderId="0" xfId="0" applyNumberFormat="1" applyBorder="1" applyAlignment="1">
      <alignment horizontal="center"/>
    </xf>
    <xf numFmtId="44" fontId="0" fillId="0" borderId="0" xfId="2" applyFont="1" applyBorder="1"/>
    <xf numFmtId="165" fontId="0" fillId="0" borderId="0" xfId="0" applyNumberFormat="1" applyBorder="1"/>
    <xf numFmtId="164" fontId="0" fillId="0" borderId="2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/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5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0" fontId="3" fillId="0" borderId="0" xfId="0" applyFont="1" applyAlignment="1"/>
    <xf numFmtId="44" fontId="0" fillId="0" borderId="0" xfId="0" applyNumberFormat="1" applyBorder="1"/>
    <xf numFmtId="164" fontId="0" fillId="3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7" fontId="0" fillId="0" borderId="0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NHS Wind Turbine </a:t>
            </a:r>
          </a:p>
          <a:p>
            <a:pPr>
              <a:defRPr/>
            </a:pPr>
            <a:r>
              <a:rPr lang="en-US"/>
              <a:t>Net Electrical Output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454078615667116"/>
          <c:y val="0.17718539331961097"/>
          <c:w val="0.86694676999367171"/>
          <c:h val="0.75351542675422833"/>
        </c:manualLayout>
      </c:layout>
      <c:barChart>
        <c:barDir val="col"/>
        <c:grouping val="clustered"/>
        <c:ser>
          <c:idx val="0"/>
          <c:order val="0"/>
          <c:tx>
            <c:strRef>
              <c:f>'Output Summary'!$B$6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'Output Summary'!$A$7:$A$18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'Output Summary'!$B$7:$B$18</c:f>
              <c:numCache>
                <c:formatCode>General</c:formatCode>
                <c:ptCount val="12"/>
                <c:pt idx="9" formatCode="0_);\(0\)">
                  <c:v>17</c:v>
                </c:pt>
                <c:pt idx="10" formatCode="0_);\(0\)">
                  <c:v>22</c:v>
                </c:pt>
                <c:pt idx="11" formatCode="0_);\(0\)">
                  <c:v>22</c:v>
                </c:pt>
              </c:numCache>
            </c:numRef>
          </c:val>
        </c:ser>
        <c:ser>
          <c:idx val="1"/>
          <c:order val="1"/>
          <c:tx>
            <c:strRef>
              <c:f>'Output Summary'!$C$6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'Output Summary'!$A$7:$A$18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'Output Summary'!$C$7:$C$18</c:f>
              <c:numCache>
                <c:formatCode>0_);\(0\)</c:formatCode>
                <c:ptCount val="12"/>
                <c:pt idx="0">
                  <c:v>22</c:v>
                </c:pt>
                <c:pt idx="1">
                  <c:v>19</c:v>
                </c:pt>
                <c:pt idx="2">
                  <c:v>21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12</c:v>
                </c:pt>
                <c:pt idx="9">
                  <c:v>15</c:v>
                </c:pt>
                <c:pt idx="10">
                  <c:v>20</c:v>
                </c:pt>
                <c:pt idx="11">
                  <c:v>21</c:v>
                </c:pt>
              </c:numCache>
            </c:numRef>
          </c:val>
        </c:ser>
        <c:ser>
          <c:idx val="2"/>
          <c:order val="2"/>
          <c:tx>
            <c:strRef>
              <c:f>'Output Summary'!$D$6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'Output Summary'!$A$7:$A$18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'Output Summary'!$D$7:$D$18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26</c:v>
                </c:pt>
                <c:pt idx="3">
                  <c:v>20</c:v>
                </c:pt>
                <c:pt idx="4">
                  <c:v>17</c:v>
                </c:pt>
                <c:pt idx="5">
                  <c:v>17</c:v>
                </c:pt>
                <c:pt idx="6">
                  <c:v>14</c:v>
                </c:pt>
                <c:pt idx="7">
                  <c:v>9</c:v>
                </c:pt>
                <c:pt idx="8">
                  <c:v>13</c:v>
                </c:pt>
                <c:pt idx="9">
                  <c:v>13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'Output Summary'!$E$6</c:f>
              <c:strCache>
                <c:ptCount val="1"/>
                <c:pt idx="0">
                  <c:v>2014</c:v>
                </c:pt>
              </c:strCache>
            </c:strRef>
          </c:tx>
          <c:val>
            <c:numRef>
              <c:f>'Output Summary'!$E$7:$E$18</c:f>
              <c:numCache>
                <c:formatCode>General</c:formatCode>
                <c:ptCount val="12"/>
                <c:pt idx="0" formatCode="0">
                  <c:v>12.108436440677965</c:v>
                </c:pt>
                <c:pt idx="1">
                  <c:v>15</c:v>
                </c:pt>
                <c:pt idx="2">
                  <c:v>22</c:v>
                </c:pt>
                <c:pt idx="3">
                  <c:v>22</c:v>
                </c:pt>
                <c:pt idx="4">
                  <c:v>15</c:v>
                </c:pt>
                <c:pt idx="5" formatCode="0">
                  <c:v>10.628087352019502</c:v>
                </c:pt>
                <c:pt idx="6" formatCode="0">
                  <c:v>15</c:v>
                </c:pt>
                <c:pt idx="7" formatCode="0">
                  <c:v>7</c:v>
                </c:pt>
                <c:pt idx="8" formatCode="0">
                  <c:v>11</c:v>
                </c:pt>
                <c:pt idx="9" formatCode="0">
                  <c:v>21</c:v>
                </c:pt>
                <c:pt idx="10" formatCode="0">
                  <c:v>20</c:v>
                </c:pt>
                <c:pt idx="11">
                  <c:v>19</c:v>
                </c:pt>
              </c:numCache>
            </c:numRef>
          </c:val>
        </c:ser>
        <c:ser>
          <c:idx val="4"/>
          <c:order val="4"/>
          <c:tx>
            <c:strRef>
              <c:f>'Output Summary'!$F$6</c:f>
              <c:strCache>
                <c:ptCount val="1"/>
                <c:pt idx="0">
                  <c:v>2015</c:v>
                </c:pt>
              </c:strCache>
            </c:strRef>
          </c:tx>
          <c:val>
            <c:numRef>
              <c:f>'Output Summary'!$F$7:$F$18</c:f>
              <c:numCache>
                <c:formatCode>General</c:formatCode>
                <c:ptCount val="12"/>
                <c:pt idx="0" formatCode="0">
                  <c:v>23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16</c:v>
                </c:pt>
                <c:pt idx="5" formatCode="0">
                  <c:v>14</c:v>
                </c:pt>
                <c:pt idx="6" formatCode="0">
                  <c:v>9</c:v>
                </c:pt>
                <c:pt idx="7" formatCode="0">
                  <c:v>7</c:v>
                </c:pt>
                <c:pt idx="8" formatCode="0">
                  <c:v>10</c:v>
                </c:pt>
                <c:pt idx="9" formatCode="0">
                  <c:v>24</c:v>
                </c:pt>
                <c:pt idx="10" formatCode="0">
                  <c:v>17</c:v>
                </c:pt>
              </c:numCache>
            </c:numRef>
          </c:val>
        </c:ser>
        <c:dLbls/>
        <c:axId val="77641600"/>
        <c:axId val="77643136"/>
      </c:barChart>
      <c:catAx>
        <c:axId val="77641600"/>
        <c:scaling>
          <c:orientation val="minMax"/>
        </c:scaling>
        <c:axPos val="b"/>
        <c:tickLblPos val="nextTo"/>
        <c:crossAx val="77643136"/>
        <c:crosses val="autoZero"/>
        <c:auto val="1"/>
        <c:lblAlgn val="ctr"/>
        <c:lblOffset val="100"/>
      </c:catAx>
      <c:valAx>
        <c:axId val="77643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 per month</a:t>
                </a:r>
              </a:p>
            </c:rich>
          </c:tx>
          <c:layout>
            <c:manualLayout>
              <c:xMode val="edge"/>
              <c:yMode val="edge"/>
              <c:x val="1.1995684333924665E-2"/>
              <c:y val="0.43539878369657198"/>
            </c:manualLayout>
          </c:layout>
        </c:title>
        <c:numFmt formatCode="General" sourceLinked="1"/>
        <c:tickLblPos val="nextTo"/>
        <c:crossAx val="7764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4875328083989"/>
          <c:y val="1.6875878067108826E-2"/>
          <c:w val="9.9371968503937022E-2"/>
          <c:h val="0.27841289869564095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95252</xdr:rowOff>
    </xdr:from>
    <xdr:to>
      <xdr:col>7</xdr:col>
      <xdr:colOff>552450</xdr:colOff>
      <xdr:row>46</xdr:row>
      <xdr:rowOff>28576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>
      <selection activeCell="G21" sqref="G21"/>
    </sheetView>
  </sheetViews>
  <sheetFormatPr defaultRowHeight="12.75"/>
  <cols>
    <col min="13" max="13" width="11.28515625" customWidth="1"/>
    <col min="15" max="15" width="10.85546875" customWidth="1"/>
    <col min="16" max="16" width="11.5703125" customWidth="1"/>
  </cols>
  <sheetData>
    <row r="1" spans="1:19">
      <c r="A1" s="2" t="s">
        <v>54</v>
      </c>
    </row>
    <row r="2" spans="1:19">
      <c r="A2" s="2" t="s">
        <v>55</v>
      </c>
    </row>
    <row r="3" spans="1:19">
      <c r="A3" s="2"/>
    </row>
    <row r="4" spans="1:19">
      <c r="B4" s="2" t="s">
        <v>56</v>
      </c>
      <c r="I4" s="2" t="s">
        <v>57</v>
      </c>
    </row>
    <row r="6" spans="1:19">
      <c r="B6" s="5">
        <v>2011</v>
      </c>
      <c r="C6" s="5">
        <v>2012</v>
      </c>
      <c r="D6" s="5">
        <v>2013</v>
      </c>
      <c r="E6" s="5">
        <v>2014</v>
      </c>
      <c r="F6" s="5">
        <v>2015</v>
      </c>
    </row>
    <row r="7" spans="1:19">
      <c r="A7" s="4" t="s">
        <v>32</v>
      </c>
      <c r="C7" s="31">
        <f>Data!B14</f>
        <v>22</v>
      </c>
      <c r="D7" s="4">
        <v>20</v>
      </c>
      <c r="E7" s="78">
        <f>Data!C38</f>
        <v>12.108436440677965</v>
      </c>
      <c r="F7" s="78">
        <v>23</v>
      </c>
      <c r="I7" s="6" t="s">
        <v>62</v>
      </c>
      <c r="J7" s="90" t="s">
        <v>77</v>
      </c>
      <c r="N7" s="6" t="s">
        <v>26</v>
      </c>
      <c r="O7" s="6" t="s">
        <v>26</v>
      </c>
    </row>
    <row r="8" spans="1:19">
      <c r="A8" s="4" t="s">
        <v>33</v>
      </c>
      <c r="C8" s="29">
        <f>Data!B15</f>
        <v>19</v>
      </c>
      <c r="D8" s="4">
        <v>18</v>
      </c>
      <c r="E8" s="4">
        <f>Data!J39</f>
        <v>15</v>
      </c>
      <c r="F8" s="4">
        <v>19</v>
      </c>
      <c r="I8" s="5" t="s">
        <v>63</v>
      </c>
      <c r="J8" s="91" t="s">
        <v>20</v>
      </c>
      <c r="K8" s="7" t="s">
        <v>23</v>
      </c>
      <c r="L8" s="7" t="s">
        <v>22</v>
      </c>
      <c r="M8" s="7" t="s">
        <v>24</v>
      </c>
      <c r="N8" s="7" t="s">
        <v>28</v>
      </c>
      <c r="O8" s="7" t="s">
        <v>27</v>
      </c>
      <c r="P8" s="7" t="s">
        <v>58</v>
      </c>
    </row>
    <row r="9" spans="1:19">
      <c r="A9" s="4" t="s">
        <v>34</v>
      </c>
      <c r="C9" s="29">
        <f>Data!B16</f>
        <v>21</v>
      </c>
      <c r="D9" s="6">
        <f>Data!B28</f>
        <v>26</v>
      </c>
      <c r="E9" s="4">
        <v>22</v>
      </c>
      <c r="F9" s="4">
        <f>Data!B52</f>
        <v>20</v>
      </c>
      <c r="K9" s="17"/>
      <c r="N9" s="18"/>
    </row>
    <row r="10" spans="1:19">
      <c r="A10" s="4" t="s">
        <v>35</v>
      </c>
      <c r="C10" s="29">
        <f>Data!B17</f>
        <v>15</v>
      </c>
      <c r="D10" s="6">
        <v>20</v>
      </c>
      <c r="E10" s="4">
        <v>22</v>
      </c>
      <c r="F10" s="4">
        <v>20</v>
      </c>
      <c r="G10" s="79"/>
      <c r="N10" s="18"/>
    </row>
    <row r="11" spans="1:19">
      <c r="A11" s="4" t="s">
        <v>36</v>
      </c>
      <c r="C11" s="29">
        <f>Data!B18</f>
        <v>13</v>
      </c>
      <c r="D11" s="6">
        <v>17</v>
      </c>
      <c r="E11" s="6">
        <f>Data!J42</f>
        <v>15</v>
      </c>
      <c r="F11" s="6">
        <v>16</v>
      </c>
      <c r="I11" t="s">
        <v>59</v>
      </c>
      <c r="J11" s="89">
        <f>SUM(Data!B11:B13)</f>
        <v>61</v>
      </c>
      <c r="K11" s="6" t="s">
        <v>25</v>
      </c>
      <c r="L11" s="75">
        <v>56</v>
      </c>
      <c r="M11" s="75">
        <f t="shared" ref="M11:M25" si="0">L11*J11</f>
        <v>3416</v>
      </c>
      <c r="N11" s="76">
        <v>41061</v>
      </c>
      <c r="O11" s="62"/>
      <c r="P11" s="62"/>
      <c r="Q11" s="62"/>
      <c r="R11" s="62"/>
      <c r="S11" s="62"/>
    </row>
    <row r="12" spans="1:19">
      <c r="A12" s="4" t="s">
        <v>37</v>
      </c>
      <c r="C12" s="29">
        <f>Data!B19</f>
        <v>13</v>
      </c>
      <c r="D12" s="6">
        <v>17</v>
      </c>
      <c r="E12" s="80">
        <f>Data!C43</f>
        <v>10.628087352019502</v>
      </c>
      <c r="F12" s="80">
        <f>Data!B55</f>
        <v>14</v>
      </c>
      <c r="I12" t="s">
        <v>60</v>
      </c>
      <c r="J12" s="89">
        <f>SUM(Data!B14:B16)</f>
        <v>62</v>
      </c>
      <c r="K12" s="6" t="s">
        <v>25</v>
      </c>
      <c r="L12" s="75">
        <v>52</v>
      </c>
      <c r="M12" s="75">
        <f t="shared" si="0"/>
        <v>3224</v>
      </c>
      <c r="N12" s="76">
        <v>41061</v>
      </c>
      <c r="O12" s="88">
        <f>M12+M11</f>
        <v>6640</v>
      </c>
      <c r="P12" s="62"/>
      <c r="Q12" s="62"/>
      <c r="R12" s="62"/>
      <c r="S12" s="62"/>
    </row>
    <row r="13" spans="1:19">
      <c r="A13" s="4" t="s">
        <v>38</v>
      </c>
      <c r="C13" s="29">
        <f>Data!B20</f>
        <v>9</v>
      </c>
      <c r="D13" s="6">
        <v>14</v>
      </c>
      <c r="E13" s="80">
        <f>Data!J44</f>
        <v>15</v>
      </c>
      <c r="F13" s="80">
        <v>9</v>
      </c>
      <c r="I13" t="s">
        <v>61</v>
      </c>
      <c r="J13" s="89">
        <f>SUM(Data!B17:B19)</f>
        <v>41</v>
      </c>
      <c r="K13" s="6" t="s">
        <v>25</v>
      </c>
      <c r="L13" s="75">
        <v>52</v>
      </c>
      <c r="M13" s="75">
        <f t="shared" si="0"/>
        <v>2132</v>
      </c>
      <c r="N13" s="76">
        <v>41197</v>
      </c>
      <c r="O13" s="88">
        <f>M13</f>
        <v>2132</v>
      </c>
      <c r="P13" s="88">
        <f>SUM(O12:O16)</f>
        <v>17000</v>
      </c>
      <c r="Q13" s="62"/>
      <c r="R13" s="62"/>
      <c r="S13" s="62"/>
    </row>
    <row r="14" spans="1:19">
      <c r="A14" s="4" t="s">
        <v>39</v>
      </c>
      <c r="C14" s="29">
        <f>Data!B21</f>
        <v>8</v>
      </c>
      <c r="D14" s="6">
        <v>9</v>
      </c>
      <c r="E14" s="80">
        <v>7</v>
      </c>
      <c r="F14" s="80">
        <v>7</v>
      </c>
      <c r="I14" t="s">
        <v>64</v>
      </c>
      <c r="J14" s="89">
        <f>SUM(Data!B20:B22)</f>
        <v>29</v>
      </c>
      <c r="K14" s="6" t="s">
        <v>25</v>
      </c>
      <c r="L14" s="75">
        <v>52</v>
      </c>
      <c r="M14" s="75">
        <f t="shared" si="0"/>
        <v>1508</v>
      </c>
      <c r="N14" s="76">
        <v>41289</v>
      </c>
      <c r="O14" s="88">
        <f>M14</f>
        <v>1508</v>
      </c>
      <c r="P14" s="88">
        <f>P13+O14</f>
        <v>18508</v>
      </c>
      <c r="Q14" s="62"/>
      <c r="R14" s="62"/>
      <c r="S14" s="62"/>
    </row>
    <row r="15" spans="1:19">
      <c r="A15" s="4" t="s">
        <v>40</v>
      </c>
      <c r="C15" s="29">
        <f>Data!B22</f>
        <v>12</v>
      </c>
      <c r="D15" s="6">
        <v>13</v>
      </c>
      <c r="E15" s="80">
        <v>11</v>
      </c>
      <c r="F15" s="80">
        <v>10</v>
      </c>
      <c r="I15" t="s">
        <v>65</v>
      </c>
      <c r="J15" s="89">
        <f>SUM(Data!B23:B25)</f>
        <v>56</v>
      </c>
      <c r="K15" s="6" t="s">
        <v>25</v>
      </c>
      <c r="L15" s="75">
        <v>52</v>
      </c>
      <c r="M15" s="75">
        <f t="shared" si="0"/>
        <v>2912</v>
      </c>
      <c r="N15" s="76">
        <v>41382</v>
      </c>
      <c r="O15" s="88">
        <f>M15</f>
        <v>2912</v>
      </c>
      <c r="P15" s="88">
        <f t="shared" ref="P15:P25" si="1">M15+P14</f>
        <v>21420</v>
      </c>
      <c r="Q15" s="62"/>
      <c r="R15" s="62"/>
      <c r="S15" s="62"/>
    </row>
    <row r="16" spans="1:19">
      <c r="A16" s="4" t="s">
        <v>41</v>
      </c>
      <c r="B16" s="29">
        <f>Data!B11</f>
        <v>17</v>
      </c>
      <c r="C16" s="29">
        <f>Data!B23</f>
        <v>15</v>
      </c>
      <c r="D16" s="6">
        <v>13</v>
      </c>
      <c r="E16" s="80">
        <v>21</v>
      </c>
      <c r="F16" s="80">
        <f>Data!J59</f>
        <v>24</v>
      </c>
      <c r="I16" t="s">
        <v>66</v>
      </c>
      <c r="J16" s="89">
        <f>SUM(Data!B26:B28)</f>
        <v>64</v>
      </c>
      <c r="K16" s="6" t="s">
        <v>25</v>
      </c>
      <c r="L16" s="75">
        <v>59.5</v>
      </c>
      <c r="M16" s="75">
        <f t="shared" si="0"/>
        <v>3808</v>
      </c>
      <c r="N16" s="76">
        <v>41470</v>
      </c>
      <c r="O16" s="88">
        <f>M16</f>
        <v>3808</v>
      </c>
      <c r="P16" s="88">
        <f t="shared" si="1"/>
        <v>25228</v>
      </c>
      <c r="Q16" s="62"/>
      <c r="R16" s="62"/>
      <c r="S16" s="62"/>
    </row>
    <row r="17" spans="1:19">
      <c r="A17" s="4" t="s">
        <v>42</v>
      </c>
      <c r="B17" s="29">
        <f>Data!B12</f>
        <v>22</v>
      </c>
      <c r="C17" s="29">
        <f>Data!B24</f>
        <v>20</v>
      </c>
      <c r="D17" s="6">
        <v>7</v>
      </c>
      <c r="E17" s="80">
        <v>20</v>
      </c>
      <c r="F17" s="80">
        <f>Data!J60</f>
        <v>17</v>
      </c>
      <c r="I17" t="s">
        <v>67</v>
      </c>
      <c r="J17" s="89">
        <f>SUM(Data!J29:J31)</f>
        <v>54</v>
      </c>
      <c r="K17" s="6" t="s">
        <v>25</v>
      </c>
      <c r="L17" s="75">
        <v>59.5</v>
      </c>
      <c r="M17" s="75">
        <f t="shared" si="0"/>
        <v>3213</v>
      </c>
      <c r="N17" s="76">
        <v>41562</v>
      </c>
      <c r="O17" s="88">
        <f>M17</f>
        <v>3213</v>
      </c>
      <c r="P17" s="88">
        <f t="shared" si="1"/>
        <v>28441</v>
      </c>
      <c r="Q17" s="62"/>
      <c r="R17" s="62"/>
      <c r="S17" s="62"/>
    </row>
    <row r="18" spans="1:19">
      <c r="A18" s="5" t="s">
        <v>43</v>
      </c>
      <c r="B18" s="30">
        <f>Data!B13</f>
        <v>22</v>
      </c>
      <c r="C18" s="30">
        <f>Data!B25</f>
        <v>21</v>
      </c>
      <c r="D18" s="5">
        <v>0</v>
      </c>
      <c r="E18" s="5">
        <v>19</v>
      </c>
      <c r="F18" s="5"/>
      <c r="I18" t="s">
        <v>68</v>
      </c>
      <c r="J18" s="89">
        <f>SUM(Data!B32:B34)</f>
        <v>36</v>
      </c>
      <c r="K18" s="6" t="s">
        <v>25</v>
      </c>
      <c r="L18" s="75">
        <v>59.5</v>
      </c>
      <c r="M18" s="75">
        <f t="shared" si="0"/>
        <v>2142</v>
      </c>
      <c r="N18" s="76">
        <v>41656</v>
      </c>
      <c r="O18" s="75">
        <v>2142</v>
      </c>
      <c r="P18" s="88">
        <f t="shared" si="1"/>
        <v>30583</v>
      </c>
      <c r="Q18" s="62"/>
      <c r="R18" s="62"/>
      <c r="S18" s="62"/>
    </row>
    <row r="19" spans="1:19">
      <c r="A19" s="4" t="s">
        <v>44</v>
      </c>
      <c r="B19" s="32">
        <f>SUM(B7:B18)</f>
        <v>61</v>
      </c>
      <c r="C19" s="32">
        <f>SUM(C7:C18)</f>
        <v>188</v>
      </c>
      <c r="D19" s="32">
        <f>SUM(D7:D18)</f>
        <v>174</v>
      </c>
      <c r="E19" s="32">
        <f>SUM(E7:E18)</f>
        <v>189.73652379269748</v>
      </c>
      <c r="F19" s="32">
        <f>SUM(F7:F18)</f>
        <v>179</v>
      </c>
      <c r="I19" t="s">
        <v>69</v>
      </c>
      <c r="J19" s="89">
        <f>SUM(Data!B35:B37)</f>
        <v>20</v>
      </c>
      <c r="K19" s="6" t="s">
        <v>25</v>
      </c>
      <c r="L19" s="75">
        <v>59.5</v>
      </c>
      <c r="M19" s="75">
        <f t="shared" si="0"/>
        <v>1190</v>
      </c>
      <c r="N19" s="76">
        <v>41746</v>
      </c>
      <c r="O19" s="88">
        <f>M19</f>
        <v>1190</v>
      </c>
      <c r="P19" s="88">
        <f t="shared" si="1"/>
        <v>31773</v>
      </c>
      <c r="Q19" s="62"/>
      <c r="R19" s="62"/>
      <c r="S19" s="62"/>
    </row>
    <row r="20" spans="1:19">
      <c r="A20" s="4"/>
      <c r="B20" s="72">
        <f>SUM(B19:F19)</f>
        <v>791.73652379269743</v>
      </c>
      <c r="C20" t="s">
        <v>50</v>
      </c>
      <c r="E20" s="8"/>
      <c r="I20" t="s">
        <v>70</v>
      </c>
      <c r="J20" s="89">
        <f>SUM(Data!B38:B40)</f>
        <v>50</v>
      </c>
      <c r="K20" s="6" t="s">
        <v>52</v>
      </c>
      <c r="L20" s="75">
        <v>61</v>
      </c>
      <c r="M20" s="75">
        <f t="shared" si="0"/>
        <v>3050</v>
      </c>
      <c r="N20" s="76">
        <v>41835</v>
      </c>
      <c r="O20" s="75">
        <v>3050</v>
      </c>
      <c r="P20" s="88">
        <f t="shared" si="1"/>
        <v>34823</v>
      </c>
      <c r="Q20" s="62"/>
      <c r="R20" s="62"/>
      <c r="S20" s="62"/>
    </row>
    <row r="21" spans="1:19">
      <c r="I21" t="s">
        <v>71</v>
      </c>
      <c r="J21" s="89">
        <f>SUM(Data!B41:B43)</f>
        <v>48</v>
      </c>
      <c r="K21" s="6" t="s">
        <v>52</v>
      </c>
      <c r="L21" s="75">
        <v>61</v>
      </c>
      <c r="M21" s="75">
        <f t="shared" si="0"/>
        <v>2928</v>
      </c>
      <c r="N21" s="76">
        <v>41927</v>
      </c>
      <c r="O21" s="75">
        <v>2928</v>
      </c>
      <c r="P21" s="88">
        <f t="shared" si="1"/>
        <v>37751</v>
      </c>
      <c r="Q21" s="62"/>
      <c r="R21" s="62"/>
      <c r="S21" s="62"/>
    </row>
    <row r="22" spans="1:19">
      <c r="I22" t="s">
        <v>72</v>
      </c>
      <c r="J22" s="89">
        <f>SUM(Data!B44:B46)</f>
        <v>34</v>
      </c>
      <c r="K22" s="6" t="s">
        <v>52</v>
      </c>
      <c r="L22" s="75">
        <v>61</v>
      </c>
      <c r="M22" s="75">
        <f t="shared" si="0"/>
        <v>2074</v>
      </c>
      <c r="N22" s="76">
        <v>42022</v>
      </c>
      <c r="O22" s="88">
        <f>M22</f>
        <v>2074</v>
      </c>
      <c r="P22" s="88">
        <f t="shared" si="1"/>
        <v>39825</v>
      </c>
      <c r="Q22" s="62"/>
      <c r="R22" s="62"/>
      <c r="S22" s="62"/>
    </row>
    <row r="23" spans="1:19">
      <c r="I23" t="s">
        <v>73</v>
      </c>
      <c r="J23" s="89">
        <f>SUM(Data!B47:B49)</f>
        <v>60</v>
      </c>
      <c r="K23" s="6" t="s">
        <v>52</v>
      </c>
      <c r="L23" s="75">
        <v>61</v>
      </c>
      <c r="M23" s="75">
        <f t="shared" si="0"/>
        <v>3660</v>
      </c>
      <c r="N23" s="76">
        <v>42109</v>
      </c>
      <c r="O23" s="88">
        <f>L23*J23</f>
        <v>3660</v>
      </c>
      <c r="P23" s="88">
        <f t="shared" si="1"/>
        <v>43485</v>
      </c>
      <c r="Q23" s="62"/>
      <c r="R23" s="62"/>
      <c r="S23" s="62"/>
    </row>
    <row r="24" spans="1:19">
      <c r="I24" t="s">
        <v>74</v>
      </c>
      <c r="J24" s="89">
        <f>SUM(Data!B50:B52)</f>
        <v>61</v>
      </c>
      <c r="K24" s="6" t="s">
        <v>52</v>
      </c>
      <c r="L24" s="75">
        <v>56.75</v>
      </c>
      <c r="M24" s="75">
        <f t="shared" si="0"/>
        <v>3461.75</v>
      </c>
      <c r="N24" s="76">
        <v>42200</v>
      </c>
      <c r="O24" s="88">
        <f>L24*J24</f>
        <v>3461.75</v>
      </c>
      <c r="P24" s="88">
        <f t="shared" si="1"/>
        <v>46946.75</v>
      </c>
      <c r="Q24" s="62"/>
      <c r="R24" s="62"/>
      <c r="S24" s="62"/>
    </row>
    <row r="25" spans="1:19">
      <c r="I25" t="s">
        <v>75</v>
      </c>
      <c r="J25" s="89">
        <f>SUM(Data!B53:B55)</f>
        <v>50</v>
      </c>
      <c r="K25" s="6" t="s">
        <v>52</v>
      </c>
      <c r="L25" s="75">
        <v>56.75</v>
      </c>
      <c r="M25" s="75">
        <f t="shared" si="0"/>
        <v>2837.5</v>
      </c>
      <c r="N25" s="76">
        <v>42292</v>
      </c>
      <c r="O25" s="88">
        <f>L25*J25</f>
        <v>2837.5</v>
      </c>
      <c r="P25" s="88">
        <f t="shared" si="1"/>
        <v>49784.25</v>
      </c>
      <c r="Q25" s="62"/>
      <c r="R25" s="62"/>
      <c r="S25" s="62"/>
    </row>
    <row r="26" spans="1:19">
      <c r="I26" t="s">
        <v>76</v>
      </c>
      <c r="J26" s="89">
        <f>SUM(Data!B56:B58)</f>
        <v>26</v>
      </c>
      <c r="K26" s="6" t="s">
        <v>52</v>
      </c>
      <c r="L26" s="75">
        <v>56.75</v>
      </c>
      <c r="M26" s="75">
        <f t="shared" ref="M26" si="2">L26*J26</f>
        <v>1475.5</v>
      </c>
      <c r="N26" s="76">
        <v>42384</v>
      </c>
      <c r="O26" s="88">
        <f>L26*J26</f>
        <v>1475.5</v>
      </c>
      <c r="P26" s="88">
        <f t="shared" ref="P26" si="3">M26+P25</f>
        <v>51259.75</v>
      </c>
      <c r="Q26" s="62"/>
      <c r="R26" s="62"/>
      <c r="S26" s="62"/>
    </row>
    <row r="27" spans="1:19">
      <c r="I27" t="s">
        <v>78</v>
      </c>
      <c r="J27" s="89"/>
      <c r="K27" s="6" t="s">
        <v>52</v>
      </c>
      <c r="L27" s="75">
        <v>56.75</v>
      </c>
      <c r="M27" s="75">
        <f t="shared" ref="M27" si="4">L27*J27</f>
        <v>0</v>
      </c>
      <c r="N27" s="76">
        <v>42475</v>
      </c>
      <c r="O27" s="88">
        <f>L27*J27</f>
        <v>0</v>
      </c>
      <c r="P27" s="88">
        <f t="shared" ref="P27" si="5">M27+P26</f>
        <v>51259.75</v>
      </c>
      <c r="Q27" s="62"/>
      <c r="R27" s="62"/>
      <c r="S27" s="62"/>
    </row>
    <row r="28" spans="1:19">
      <c r="J28" s="4"/>
      <c r="O28" s="88"/>
    </row>
    <row r="29" spans="1:19">
      <c r="O29" s="88"/>
    </row>
    <row r="30" spans="1:19">
      <c r="N30" s="18"/>
    </row>
    <row r="31" spans="1:19">
      <c r="N31" s="18"/>
    </row>
    <row r="33" spans="10:16">
      <c r="N33" s="18"/>
    </row>
    <row r="34" spans="10:16">
      <c r="N34" s="18"/>
    </row>
    <row r="36" spans="10:16">
      <c r="J36" s="53"/>
      <c r="K36" s="53"/>
      <c r="L36" s="53"/>
      <c r="M36" s="75"/>
      <c r="N36" s="76"/>
      <c r="O36" s="62"/>
      <c r="P36" s="27"/>
    </row>
    <row r="37" spans="10:16">
      <c r="J37" s="53"/>
      <c r="K37" s="53"/>
      <c r="L37" s="53"/>
      <c r="M37" s="75"/>
      <c r="N37" s="76"/>
      <c r="O37" s="62"/>
      <c r="P37" s="27"/>
    </row>
    <row r="50" spans="10:16">
      <c r="J50" s="53"/>
      <c r="K50" s="6"/>
      <c r="L50" s="75"/>
      <c r="M50" s="75"/>
      <c r="N50" s="76"/>
      <c r="O50" s="62"/>
      <c r="P50" s="27"/>
    </row>
    <row r="54" spans="10:16">
      <c r="N54" s="18"/>
    </row>
    <row r="55" spans="10:16">
      <c r="M55" s="27"/>
      <c r="N55" s="18"/>
    </row>
    <row r="56" spans="10:16">
      <c r="N56" s="18"/>
    </row>
  </sheetData>
  <printOptions horizontalCentered="1" verticalCentered="1" gridLines="1"/>
  <pageMargins left="0.7" right="0.7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9"/>
  <sheetViews>
    <sheetView topLeftCell="A124" zoomScaleNormal="100" workbookViewId="0">
      <selection activeCell="K62" sqref="K62"/>
    </sheetView>
  </sheetViews>
  <sheetFormatPr defaultRowHeight="12.75"/>
  <cols>
    <col min="1" max="1" width="10.140625" bestFit="1" customWidth="1"/>
    <col min="3" max="3" width="12.28515625" bestFit="1" customWidth="1"/>
    <col min="4" max="4" width="1.7109375" customWidth="1"/>
    <col min="5" max="5" width="10.7109375" customWidth="1"/>
    <col min="6" max="6" width="10.28515625" customWidth="1"/>
    <col min="7" max="7" width="10.85546875" customWidth="1"/>
    <col min="9" max="9" width="11.28515625" bestFit="1" customWidth="1"/>
    <col min="11" max="11" width="11.140625" style="85" customWidth="1"/>
    <col min="12" max="13" width="10.7109375" customWidth="1"/>
    <col min="14" max="14" width="11.28515625" bestFit="1" customWidth="1"/>
    <col min="15" max="15" width="10.28515625" bestFit="1" customWidth="1"/>
    <col min="16" max="16" width="9.7109375" bestFit="1" customWidth="1"/>
    <col min="17" max="18" width="11.28515625" bestFit="1" customWidth="1"/>
    <col min="25" max="25" width="10.28515625" bestFit="1" customWidth="1"/>
  </cols>
  <sheetData>
    <row r="1" spans="1:11">
      <c r="A1" s="2" t="s">
        <v>19</v>
      </c>
    </row>
    <row r="2" spans="1:11">
      <c r="A2" s="2" t="s">
        <v>5</v>
      </c>
    </row>
    <row r="3" spans="1:11">
      <c r="A3" s="15" t="s">
        <v>13</v>
      </c>
    </row>
    <row r="4" spans="1:11">
      <c r="A4" s="15" t="s">
        <v>14</v>
      </c>
    </row>
    <row r="5" spans="1:11">
      <c r="A5" s="15" t="s">
        <v>21</v>
      </c>
    </row>
    <row r="6" spans="1:11">
      <c r="A6" s="15"/>
    </row>
    <row r="7" spans="1:11" ht="13.5" thickBot="1">
      <c r="A7" s="15"/>
    </row>
    <row r="8" spans="1:11">
      <c r="A8" s="16" t="s">
        <v>18</v>
      </c>
      <c r="G8" s="37"/>
      <c r="H8" s="38"/>
      <c r="I8" s="38" t="s">
        <v>45</v>
      </c>
      <c r="J8" s="39"/>
      <c r="K8" s="6" t="s">
        <v>29</v>
      </c>
    </row>
    <row r="9" spans="1:11">
      <c r="A9" s="2"/>
      <c r="B9" t="s">
        <v>49</v>
      </c>
      <c r="E9" s="4" t="s">
        <v>11</v>
      </c>
      <c r="F9" s="4" t="s">
        <v>12</v>
      </c>
      <c r="G9" s="40"/>
      <c r="H9" s="41" t="s">
        <v>46</v>
      </c>
      <c r="I9" s="41" t="s">
        <v>47</v>
      </c>
      <c r="J9" s="42"/>
      <c r="K9" s="6" t="s">
        <v>30</v>
      </c>
    </row>
    <row r="10" spans="1:11" ht="13.5" thickBot="1">
      <c r="B10" s="11" t="s">
        <v>10</v>
      </c>
      <c r="C10" s="5" t="s">
        <v>9</v>
      </c>
      <c r="D10" s="5"/>
      <c r="E10" s="5" t="s">
        <v>4</v>
      </c>
      <c r="F10" s="5" t="s">
        <v>4</v>
      </c>
      <c r="G10" s="43" t="s">
        <v>9</v>
      </c>
      <c r="H10" s="44" t="s">
        <v>48</v>
      </c>
      <c r="I10" s="44" t="s">
        <v>48</v>
      </c>
      <c r="J10" s="45" t="s">
        <v>10</v>
      </c>
      <c r="K10" s="7" t="s">
        <v>31</v>
      </c>
    </row>
    <row r="11" spans="1:11">
      <c r="A11" s="9">
        <v>40817</v>
      </c>
      <c r="B11" s="13">
        <f>ROUND(C11,0)</f>
        <v>17</v>
      </c>
      <c r="C11" s="13">
        <f>(E11-F11)/1000</f>
        <v>17.166631135187636</v>
      </c>
      <c r="E11" s="12">
        <f>G296</f>
        <v>189367.32391418106</v>
      </c>
      <c r="F11" s="12">
        <f>G299</f>
        <v>172200.69277899343</v>
      </c>
      <c r="G11" s="46"/>
      <c r="H11" s="47"/>
      <c r="I11" s="47"/>
      <c r="J11" s="48"/>
    </row>
    <row r="12" spans="1:11">
      <c r="A12" s="9">
        <v>40848</v>
      </c>
      <c r="B12" s="13">
        <f>ROUND(C12,0)</f>
        <v>22</v>
      </c>
      <c r="C12" s="13">
        <f>(E12-F12)/1000</f>
        <v>22.237345810589584</v>
      </c>
      <c r="E12" s="12">
        <f>G293</f>
        <v>211604.66972477065</v>
      </c>
      <c r="F12" s="12">
        <f>E11</f>
        <v>189367.32391418106</v>
      </c>
      <c r="G12" s="46"/>
      <c r="H12" s="47"/>
      <c r="I12" s="47"/>
      <c r="J12" s="48"/>
    </row>
    <row r="13" spans="1:11">
      <c r="A13" s="19">
        <v>40878</v>
      </c>
      <c r="B13" s="20">
        <f>ROUND(C13,0)</f>
        <v>22</v>
      </c>
      <c r="C13" s="20">
        <f>(E13-F13)/1000</f>
        <v>21.632355591685045</v>
      </c>
      <c r="D13" s="21"/>
      <c r="E13" s="22">
        <f>G289</f>
        <v>233237.02531645569</v>
      </c>
      <c r="F13" s="22">
        <f>E12</f>
        <v>211604.66972477065</v>
      </c>
      <c r="G13" s="49"/>
      <c r="H13" s="50"/>
      <c r="I13" s="50"/>
      <c r="J13" s="51"/>
    </row>
    <row r="14" spans="1:11">
      <c r="A14" s="9">
        <v>40909</v>
      </c>
      <c r="B14" s="13">
        <f t="shared" ref="B14:B15" si="0">ROUND(C14,0)</f>
        <v>22</v>
      </c>
      <c r="C14" s="13">
        <f t="shared" ref="C14:C15" si="1">(E14-F14)/1000</f>
        <v>22.083681966359116</v>
      </c>
      <c r="E14" s="12">
        <f>G286</f>
        <v>255320.70728281481</v>
      </c>
      <c r="F14" s="12">
        <f>E13</f>
        <v>233237.02531645569</v>
      </c>
      <c r="G14" s="46"/>
      <c r="H14" s="47"/>
      <c r="I14" s="47"/>
      <c r="J14" s="48"/>
    </row>
    <row r="15" spans="1:11">
      <c r="A15" s="9">
        <v>40940</v>
      </c>
      <c r="B15" s="13">
        <f t="shared" si="0"/>
        <v>19</v>
      </c>
      <c r="C15" s="13">
        <f t="shared" si="1"/>
        <v>18.567329826751404</v>
      </c>
      <c r="E15" s="12">
        <f>G283</f>
        <v>273888.03710956621</v>
      </c>
      <c r="F15" s="12">
        <f t="shared" ref="F15:F17" si="2">E14</f>
        <v>255320.70728281481</v>
      </c>
      <c r="G15" s="46"/>
      <c r="H15" s="47"/>
      <c r="I15" s="47"/>
      <c r="J15" s="48"/>
    </row>
    <row r="16" spans="1:11">
      <c r="A16" s="19">
        <v>40969</v>
      </c>
      <c r="B16" s="20">
        <f t="shared" ref="B16:B18" si="3">ROUND(C16,0)</f>
        <v>21</v>
      </c>
      <c r="C16" s="20">
        <f t="shared" ref="C16:C18" si="4">(E16-F16)/1000</f>
        <v>21.187592567853162</v>
      </c>
      <c r="D16" s="21"/>
      <c r="E16" s="22">
        <f>G278</f>
        <v>295075.62967741938</v>
      </c>
      <c r="F16" s="22">
        <f t="shared" si="2"/>
        <v>273888.03710956621</v>
      </c>
      <c r="G16" s="49"/>
      <c r="H16" s="50"/>
      <c r="I16" s="50"/>
      <c r="J16" s="51"/>
    </row>
    <row r="17" spans="1:28">
      <c r="A17" s="17">
        <v>41000</v>
      </c>
      <c r="B17" s="13">
        <f t="shared" si="3"/>
        <v>15</v>
      </c>
      <c r="C17" s="13">
        <f t="shared" si="4"/>
        <v>14.966090899649716</v>
      </c>
      <c r="E17" s="12">
        <f>G272</f>
        <v>310041.72057706909</v>
      </c>
      <c r="F17" s="12">
        <f t="shared" si="2"/>
        <v>295075.62967741938</v>
      </c>
      <c r="G17" s="46"/>
      <c r="H17" s="47"/>
      <c r="I17" s="47"/>
      <c r="J17" s="48"/>
    </row>
    <row r="18" spans="1:28">
      <c r="A18" s="17">
        <v>41030</v>
      </c>
      <c r="B18" s="13">
        <f t="shared" si="3"/>
        <v>13</v>
      </c>
      <c r="C18" s="13">
        <f t="shared" si="4"/>
        <v>12.650797254599981</v>
      </c>
      <c r="E18" s="12">
        <f>G267</f>
        <v>322692.51783166907</v>
      </c>
      <c r="F18" s="12">
        <f t="shared" ref="F18:F23" si="5">E17</f>
        <v>310041.72057706909</v>
      </c>
      <c r="G18" s="46"/>
      <c r="H18" s="47"/>
      <c r="I18" s="47"/>
      <c r="J18" s="48"/>
    </row>
    <row r="19" spans="1:28">
      <c r="A19" s="23">
        <v>41061</v>
      </c>
      <c r="B19" s="20">
        <f t="shared" ref="B19:B22" si="6">ROUND(C19,0)</f>
        <v>13</v>
      </c>
      <c r="C19" s="20">
        <f t="shared" ref="C19:C22" si="7">(E19-F19)/1000</f>
        <v>13.309343185280101</v>
      </c>
      <c r="D19" s="21"/>
      <c r="E19" s="22">
        <f>G262</f>
        <v>336001.86101694917</v>
      </c>
      <c r="F19" s="22">
        <f t="shared" si="5"/>
        <v>322692.51783166907</v>
      </c>
      <c r="G19" s="49"/>
      <c r="H19" s="50"/>
      <c r="I19" s="50"/>
      <c r="J19" s="51"/>
    </row>
    <row r="20" spans="1:28">
      <c r="A20" s="17">
        <v>41091</v>
      </c>
      <c r="B20" s="24">
        <f t="shared" si="6"/>
        <v>9</v>
      </c>
      <c r="C20" s="24">
        <f t="shared" si="7"/>
        <v>9.1498258900716909</v>
      </c>
      <c r="E20" s="12">
        <f>G257</f>
        <v>345151.68690702086</v>
      </c>
      <c r="F20" s="12">
        <f t="shared" si="5"/>
        <v>336001.86101694917</v>
      </c>
      <c r="G20" s="52"/>
      <c r="H20" s="53"/>
      <c r="I20" s="53"/>
      <c r="J20" s="54"/>
    </row>
    <row r="21" spans="1:28">
      <c r="A21" s="17">
        <v>41122</v>
      </c>
      <c r="B21" s="24">
        <f t="shared" si="6"/>
        <v>8</v>
      </c>
      <c r="C21" s="24">
        <f t="shared" si="7"/>
        <v>7.8417638392478111</v>
      </c>
      <c r="E21" s="12">
        <f>G252</f>
        <v>352993.45074626867</v>
      </c>
      <c r="F21" s="12">
        <f t="shared" si="5"/>
        <v>345151.68690702086</v>
      </c>
      <c r="G21" s="52"/>
      <c r="H21" s="53"/>
      <c r="I21" s="53"/>
      <c r="J21" s="54"/>
      <c r="K21" s="86"/>
    </row>
    <row r="22" spans="1:28">
      <c r="A22" s="23">
        <v>41153</v>
      </c>
      <c r="B22" s="26">
        <f t="shared" si="6"/>
        <v>12</v>
      </c>
      <c r="C22" s="26">
        <f t="shared" si="7"/>
        <v>12.231079449809739</v>
      </c>
      <c r="D22" s="21"/>
      <c r="E22" s="22">
        <f>G247</f>
        <v>365224.53019607841</v>
      </c>
      <c r="F22" s="22">
        <f t="shared" si="5"/>
        <v>352993.45074626867</v>
      </c>
      <c r="G22" s="55"/>
      <c r="H22" s="56"/>
      <c r="I22" s="56"/>
      <c r="J22" s="57"/>
      <c r="K22" s="86">
        <f t="shared" ref="K22:K59" si="8">SUM(B11:B22)</f>
        <v>193</v>
      </c>
    </row>
    <row r="23" spans="1:28">
      <c r="A23" s="17">
        <v>41183</v>
      </c>
      <c r="B23" s="24">
        <f t="shared" ref="B23" si="9">ROUND(C23,0)</f>
        <v>15</v>
      </c>
      <c r="C23" s="24">
        <f t="shared" ref="C23" si="10">(E23-F23)/1000</f>
        <v>15.013181594314577</v>
      </c>
      <c r="E23" s="12">
        <f>G242</f>
        <v>380237.71179039299</v>
      </c>
      <c r="F23" s="12">
        <f t="shared" si="5"/>
        <v>365224.53019607841</v>
      </c>
      <c r="G23" s="52"/>
      <c r="H23" s="53"/>
      <c r="I23" s="53"/>
      <c r="J23" s="54"/>
      <c r="K23" s="86">
        <f t="shared" si="8"/>
        <v>191</v>
      </c>
    </row>
    <row r="24" spans="1:28">
      <c r="A24" s="17">
        <v>41214</v>
      </c>
      <c r="B24" s="24">
        <f t="shared" ref="B24:B26" si="11">ROUND(C24,0)</f>
        <v>20</v>
      </c>
      <c r="C24" s="24">
        <f t="shared" ref="C24:C26" si="12">(E24-F24)/1000</f>
        <v>20.003082327254059</v>
      </c>
      <c r="E24" s="12">
        <f>G238</f>
        <v>400240.79411764705</v>
      </c>
      <c r="F24" s="12">
        <f t="shared" ref="F24:F29" si="13">E23</f>
        <v>380237.71179039299</v>
      </c>
      <c r="G24" s="52"/>
      <c r="H24" s="53"/>
      <c r="I24" s="53"/>
      <c r="J24" s="54"/>
      <c r="K24" s="86">
        <f t="shared" si="8"/>
        <v>189</v>
      </c>
      <c r="AB24" s="32"/>
    </row>
    <row r="25" spans="1:28">
      <c r="A25" s="23">
        <v>41244</v>
      </c>
      <c r="B25" s="26">
        <f t="shared" si="11"/>
        <v>21</v>
      </c>
      <c r="C25" s="26">
        <f t="shared" si="12"/>
        <v>21.156242081447971</v>
      </c>
      <c r="D25" s="21"/>
      <c r="E25" s="22">
        <f>G232</f>
        <v>421397.03619909502</v>
      </c>
      <c r="F25" s="22">
        <f t="shared" si="13"/>
        <v>400240.79411764705</v>
      </c>
      <c r="G25" s="55"/>
      <c r="H25" s="56"/>
      <c r="I25" s="56"/>
      <c r="J25" s="57"/>
      <c r="K25" s="86">
        <f t="shared" si="8"/>
        <v>188</v>
      </c>
    </row>
    <row r="26" spans="1:28">
      <c r="A26" s="17">
        <v>41275</v>
      </c>
      <c r="B26" s="24">
        <f t="shared" si="11"/>
        <v>20</v>
      </c>
      <c r="C26" s="24">
        <f t="shared" si="12"/>
        <v>20.400344692624699</v>
      </c>
      <c r="E26" s="12">
        <f>G226</f>
        <v>441797.38089171972</v>
      </c>
      <c r="F26" s="12">
        <f t="shared" si="13"/>
        <v>421397.03619909502</v>
      </c>
      <c r="G26" s="52"/>
      <c r="H26" s="53"/>
      <c r="I26" s="53"/>
      <c r="J26" s="54"/>
      <c r="K26" s="86">
        <f t="shared" si="8"/>
        <v>186</v>
      </c>
    </row>
    <row r="27" spans="1:28" ht="11.25" customHeight="1">
      <c r="A27" s="17">
        <v>41306</v>
      </c>
      <c r="B27" s="24">
        <f t="shared" ref="B27:B29" si="14">ROUND(C27,0)</f>
        <v>18</v>
      </c>
      <c r="C27" s="24">
        <f t="shared" ref="C27:C29" si="15">(E27-F27)/1000</f>
        <v>18.280253516882425</v>
      </c>
      <c r="E27" s="12">
        <f>G221</f>
        <v>460077.63440860214</v>
      </c>
      <c r="F27" s="12">
        <f t="shared" si="13"/>
        <v>441797.38089171972</v>
      </c>
      <c r="G27" s="52"/>
      <c r="H27" s="53"/>
      <c r="I27" s="53"/>
      <c r="J27" s="54"/>
      <c r="K27" s="86">
        <f t="shared" si="8"/>
        <v>185</v>
      </c>
    </row>
    <row r="28" spans="1:28">
      <c r="A28" s="23">
        <v>41334</v>
      </c>
      <c r="B28" s="26">
        <f t="shared" si="14"/>
        <v>26</v>
      </c>
      <c r="C28" s="26">
        <f t="shared" si="15"/>
        <v>26.078182047094042</v>
      </c>
      <c r="D28" s="21"/>
      <c r="E28" s="22">
        <f>G215</f>
        <v>486155.81645569619</v>
      </c>
      <c r="F28" s="22">
        <f t="shared" si="13"/>
        <v>460077.63440860214</v>
      </c>
      <c r="G28" s="55"/>
      <c r="H28" s="56"/>
      <c r="I28" s="56"/>
      <c r="J28" s="57"/>
      <c r="K28" s="86">
        <f t="shared" si="8"/>
        <v>190</v>
      </c>
    </row>
    <row r="29" spans="1:28">
      <c r="A29" s="17">
        <v>41365</v>
      </c>
      <c r="B29" s="24">
        <f t="shared" si="14"/>
        <v>20</v>
      </c>
      <c r="C29" s="24">
        <f t="shared" si="15"/>
        <v>19.718067265234072</v>
      </c>
      <c r="E29" s="12">
        <f>G210</f>
        <v>505873.88372093026</v>
      </c>
      <c r="F29" s="12">
        <f t="shared" si="13"/>
        <v>486155.81645569619</v>
      </c>
      <c r="G29" s="58">
        <f>+C29</f>
        <v>19.718067265234072</v>
      </c>
      <c r="H29" s="59">
        <f t="shared" ref="H29:H34" si="16">+I28-J28</f>
        <v>0</v>
      </c>
      <c r="I29" s="59">
        <f>+G29+H29</f>
        <v>19.718067265234072</v>
      </c>
      <c r="J29" s="54">
        <v>19</v>
      </c>
      <c r="K29" s="86">
        <f t="shared" si="8"/>
        <v>195</v>
      </c>
    </row>
    <row r="30" spans="1:28">
      <c r="A30" s="17">
        <v>41395</v>
      </c>
      <c r="B30" s="24">
        <f t="shared" ref="B30:B32" si="17">ROUND(C30,0)</f>
        <v>17</v>
      </c>
      <c r="C30" s="24">
        <f t="shared" ref="C30:C32" si="18">(E30-F30)/1000</f>
        <v>17.102822161422694</v>
      </c>
      <c r="E30" s="12">
        <f>G205</f>
        <v>522976.70588235295</v>
      </c>
      <c r="F30" s="12">
        <f t="shared" ref="F30:F35" si="19">E29</f>
        <v>505873.88372093026</v>
      </c>
      <c r="G30" s="58">
        <f>+C30</f>
        <v>17.102822161422694</v>
      </c>
      <c r="H30" s="59">
        <f t="shared" si="16"/>
        <v>0.71806726523407249</v>
      </c>
      <c r="I30" s="59">
        <f>+G30+H30</f>
        <v>17.820889426656766</v>
      </c>
      <c r="J30" s="54">
        <v>17</v>
      </c>
      <c r="K30" s="86">
        <f t="shared" si="8"/>
        <v>199</v>
      </c>
    </row>
    <row r="31" spans="1:28">
      <c r="A31" s="23">
        <v>41426</v>
      </c>
      <c r="B31" s="26">
        <f t="shared" si="17"/>
        <v>17</v>
      </c>
      <c r="C31" s="26">
        <f t="shared" si="18"/>
        <v>17.341000807183971</v>
      </c>
      <c r="D31" s="21"/>
      <c r="E31" s="22">
        <f>G199</f>
        <v>540317.70668953692</v>
      </c>
      <c r="F31" s="22">
        <f t="shared" si="19"/>
        <v>522976.70588235295</v>
      </c>
      <c r="G31" s="60">
        <f>+C31</f>
        <v>17.341000807183971</v>
      </c>
      <c r="H31" s="61">
        <f t="shared" si="16"/>
        <v>0.82088942665676612</v>
      </c>
      <c r="I31" s="61">
        <f>+G31+H31</f>
        <v>18.161890233840737</v>
      </c>
      <c r="J31" s="57">
        <v>18</v>
      </c>
      <c r="K31" s="86">
        <f t="shared" si="8"/>
        <v>203</v>
      </c>
    </row>
    <row r="32" spans="1:28">
      <c r="A32" s="17">
        <v>41456</v>
      </c>
      <c r="B32" s="24">
        <f t="shared" si="17"/>
        <v>14</v>
      </c>
      <c r="C32" s="24">
        <f t="shared" si="18"/>
        <v>14.191982710018289</v>
      </c>
      <c r="E32" s="12">
        <f>G195</f>
        <v>554509.68939955521</v>
      </c>
      <c r="F32" s="12">
        <f t="shared" si="19"/>
        <v>540317.70668953692</v>
      </c>
      <c r="G32" s="58">
        <f>+C32</f>
        <v>14.191982710018289</v>
      </c>
      <c r="H32" s="59">
        <f t="shared" si="16"/>
        <v>0.16189023384073664</v>
      </c>
      <c r="I32" s="59">
        <f>+G32+H32</f>
        <v>14.353872943859026</v>
      </c>
      <c r="J32" s="54">
        <v>14</v>
      </c>
      <c r="K32" s="86">
        <f t="shared" si="8"/>
        <v>208</v>
      </c>
    </row>
    <row r="33" spans="1:11">
      <c r="A33" s="17">
        <v>41487</v>
      </c>
      <c r="B33" s="24">
        <f t="shared" ref="B33:B35" si="20">ROUND(C33,0)</f>
        <v>9</v>
      </c>
      <c r="C33" s="24">
        <f t="shared" ref="C33:C35" si="21">(E33-F33)/1000</f>
        <v>9.3860095971003172</v>
      </c>
      <c r="E33" s="12">
        <f>G189</f>
        <v>563895.69899665553</v>
      </c>
      <c r="F33" s="12">
        <f t="shared" si="19"/>
        <v>554509.68939955521</v>
      </c>
      <c r="G33" s="58">
        <f t="shared" ref="G33:G38" si="22">C33</f>
        <v>9.3860095971003172</v>
      </c>
      <c r="H33" s="59">
        <f t="shared" si="16"/>
        <v>0.35387294385902557</v>
      </c>
      <c r="I33" s="59">
        <f t="shared" ref="I33:I38" si="23">H33+G33</f>
        <v>9.7398825409593428</v>
      </c>
      <c r="J33" s="54">
        <f>TRUNC(I33)</f>
        <v>9</v>
      </c>
      <c r="K33" s="86">
        <f t="shared" si="8"/>
        <v>209</v>
      </c>
    </row>
    <row r="34" spans="1:11">
      <c r="A34" s="23">
        <v>41518</v>
      </c>
      <c r="B34" s="26">
        <f t="shared" si="20"/>
        <v>13</v>
      </c>
      <c r="C34" s="26">
        <f t="shared" si="21"/>
        <v>12.573890044440398</v>
      </c>
      <c r="D34" s="21"/>
      <c r="E34" s="22">
        <f>G184</f>
        <v>576469.58904109593</v>
      </c>
      <c r="F34" s="22">
        <f t="shared" si="19"/>
        <v>563895.69899665553</v>
      </c>
      <c r="G34" s="58">
        <f t="shared" si="22"/>
        <v>12.573890044440398</v>
      </c>
      <c r="H34" s="59">
        <f t="shared" si="16"/>
        <v>0.7398825409593428</v>
      </c>
      <c r="I34" s="59">
        <f t="shared" si="23"/>
        <v>13.313772585399741</v>
      </c>
      <c r="J34" s="54">
        <f>TRUNC(I34)</f>
        <v>13</v>
      </c>
      <c r="K34" s="86">
        <f t="shared" si="8"/>
        <v>210</v>
      </c>
    </row>
    <row r="35" spans="1:11">
      <c r="A35" s="64">
        <v>41548</v>
      </c>
      <c r="B35" s="24">
        <f t="shared" si="20"/>
        <v>14</v>
      </c>
      <c r="C35" s="24">
        <f t="shared" si="21"/>
        <v>13.523899387649493</v>
      </c>
      <c r="D35" s="65"/>
      <c r="E35" s="66">
        <f>G179</f>
        <v>589993.48842874542</v>
      </c>
      <c r="F35" s="67">
        <f t="shared" si="19"/>
        <v>576469.58904109593</v>
      </c>
      <c r="G35" s="58">
        <f t="shared" si="22"/>
        <v>13.523899387649493</v>
      </c>
      <c r="H35" s="59">
        <f t="shared" ref="H35" si="24">+I34-J34</f>
        <v>0.31377258539974129</v>
      </c>
      <c r="I35" s="59">
        <f t="shared" si="23"/>
        <v>13.837671973049234</v>
      </c>
      <c r="J35" s="54">
        <f t="shared" ref="J35:J39" si="25">TRUNC(I35)</f>
        <v>13</v>
      </c>
      <c r="K35" s="86">
        <f t="shared" si="8"/>
        <v>209</v>
      </c>
    </row>
    <row r="36" spans="1:11">
      <c r="A36" s="68">
        <v>41579</v>
      </c>
      <c r="B36" s="24">
        <f t="shared" ref="B36:B38" si="26">ROUND(C36,0)</f>
        <v>6</v>
      </c>
      <c r="C36" s="24">
        <f t="shared" ref="C36:C38" si="27">(E36-F36)/1000</f>
        <v>6.0743234105780717</v>
      </c>
      <c r="D36" s="62"/>
      <c r="E36" s="63">
        <f>G174</f>
        <v>596067.81183932349</v>
      </c>
      <c r="F36" s="69">
        <f>E35</f>
        <v>589993.48842874542</v>
      </c>
      <c r="G36" s="58">
        <f t="shared" si="22"/>
        <v>6.0743234105780717</v>
      </c>
      <c r="H36" s="59">
        <f t="shared" ref="H36" si="28">+I35-J35</f>
        <v>0.83767197304923435</v>
      </c>
      <c r="I36" s="59">
        <f t="shared" si="23"/>
        <v>6.911995383627306</v>
      </c>
      <c r="J36" s="54">
        <f t="shared" si="25"/>
        <v>6</v>
      </c>
      <c r="K36" s="86">
        <f t="shared" si="8"/>
        <v>195</v>
      </c>
    </row>
    <row r="37" spans="1:11">
      <c r="A37" s="70">
        <v>41609</v>
      </c>
      <c r="B37" s="26">
        <f t="shared" si="26"/>
        <v>0</v>
      </c>
      <c r="C37" s="26">
        <f t="shared" si="27"/>
        <v>0</v>
      </c>
      <c r="D37" s="21"/>
      <c r="E37" s="22">
        <v>595695</v>
      </c>
      <c r="F37" s="71">
        <v>595695</v>
      </c>
      <c r="G37" s="58">
        <f t="shared" si="22"/>
        <v>0</v>
      </c>
      <c r="H37" s="59">
        <f t="shared" ref="H37" si="29">+I36-J36</f>
        <v>0.91199538362730603</v>
      </c>
      <c r="I37" s="59">
        <f t="shared" si="23"/>
        <v>0.91199538362730603</v>
      </c>
      <c r="J37" s="54">
        <f t="shared" si="25"/>
        <v>0</v>
      </c>
      <c r="K37" s="86">
        <f t="shared" si="8"/>
        <v>174</v>
      </c>
    </row>
    <row r="38" spans="1:11">
      <c r="A38" s="64">
        <v>41653</v>
      </c>
      <c r="B38" s="77">
        <f t="shared" si="26"/>
        <v>12</v>
      </c>
      <c r="C38" s="77">
        <f t="shared" si="27"/>
        <v>12.108436440677965</v>
      </c>
      <c r="D38" s="65"/>
      <c r="E38" s="66">
        <f>G168</f>
        <v>607803.43644067796</v>
      </c>
      <c r="F38" s="67">
        <f t="shared" ref="F38:F43" si="30">E37</f>
        <v>595695</v>
      </c>
      <c r="G38" s="58">
        <f t="shared" si="22"/>
        <v>12.108436440677965</v>
      </c>
      <c r="H38" s="59">
        <f t="shared" ref="H38" si="31">+I37-J37</f>
        <v>0.91199538362730603</v>
      </c>
      <c r="I38" s="59">
        <f t="shared" si="23"/>
        <v>13.02043182430527</v>
      </c>
      <c r="J38" s="54">
        <f t="shared" si="25"/>
        <v>13</v>
      </c>
      <c r="K38" s="86">
        <f t="shared" si="8"/>
        <v>166</v>
      </c>
    </row>
    <row r="39" spans="1:11">
      <c r="A39" s="68">
        <v>41684</v>
      </c>
      <c r="B39" s="24">
        <f t="shared" ref="B39:B40" si="32">ROUND(C39,0)</f>
        <v>16</v>
      </c>
      <c r="C39" s="24">
        <f t="shared" ref="C39:C40" si="33">(E39-F39)/1000</f>
        <v>15.57183484927914</v>
      </c>
      <c r="D39" s="62"/>
      <c r="E39" s="63">
        <f>G165</f>
        <v>623375.27128995711</v>
      </c>
      <c r="F39" s="69">
        <f t="shared" si="30"/>
        <v>607803.43644067796</v>
      </c>
      <c r="G39" s="58">
        <f t="shared" ref="G39" si="34">C39</f>
        <v>15.57183484927914</v>
      </c>
      <c r="H39" s="59">
        <f t="shared" ref="H39" si="35">+I38-J38</f>
        <v>2.0431824305269686E-2</v>
      </c>
      <c r="I39" s="59">
        <f t="shared" ref="I39" si="36">H39+G39</f>
        <v>15.59226667358441</v>
      </c>
      <c r="J39" s="54">
        <f t="shared" si="25"/>
        <v>15</v>
      </c>
      <c r="K39" s="86">
        <f t="shared" si="8"/>
        <v>164</v>
      </c>
    </row>
    <row r="40" spans="1:11">
      <c r="A40" s="70">
        <v>41712</v>
      </c>
      <c r="B40" s="26">
        <f t="shared" si="32"/>
        <v>22</v>
      </c>
      <c r="C40" s="26">
        <f t="shared" si="33"/>
        <v>21.811442995757215</v>
      </c>
      <c r="D40" s="21"/>
      <c r="E40" s="22">
        <f>G159</f>
        <v>645186.71428571432</v>
      </c>
      <c r="F40" s="71">
        <f t="shared" si="30"/>
        <v>623375.27128995711</v>
      </c>
      <c r="G40" s="58">
        <f t="shared" ref="G40:G41" si="37">C40</f>
        <v>21.811442995757215</v>
      </c>
      <c r="H40" s="59">
        <f t="shared" ref="H40" si="38">+I39-J39</f>
        <v>0.59226667358440999</v>
      </c>
      <c r="I40" s="59">
        <f t="shared" ref="I40" si="39">H40+G40</f>
        <v>22.403709669341623</v>
      </c>
      <c r="J40" s="54">
        <f t="shared" ref="J40:J41" si="40">TRUNC(I40)</f>
        <v>22</v>
      </c>
      <c r="K40" s="86">
        <f t="shared" si="8"/>
        <v>160</v>
      </c>
    </row>
    <row r="41" spans="1:11">
      <c r="A41" s="64">
        <v>41730</v>
      </c>
      <c r="B41" s="24">
        <f t="shared" ref="B41:B42" si="41">ROUND(C41,0)</f>
        <v>22</v>
      </c>
      <c r="C41" s="24">
        <f t="shared" ref="C41:C42" si="42">(E41-F41)/1000</f>
        <v>21.845994047619055</v>
      </c>
      <c r="D41" s="65"/>
      <c r="E41" s="66">
        <f>G154</f>
        <v>667032.70833333337</v>
      </c>
      <c r="F41" s="67">
        <f t="shared" si="30"/>
        <v>645186.71428571432</v>
      </c>
      <c r="G41" s="58">
        <f t="shared" si="37"/>
        <v>21.845994047619055</v>
      </c>
      <c r="H41" s="59">
        <f t="shared" ref="H41" si="43">+I40-J40</f>
        <v>0.40370966934162311</v>
      </c>
      <c r="I41" s="59">
        <f t="shared" ref="I41" si="44">H41+G41</f>
        <v>22.249703716960678</v>
      </c>
      <c r="J41" s="54">
        <f t="shared" si="40"/>
        <v>22</v>
      </c>
      <c r="K41" s="86">
        <f t="shared" si="8"/>
        <v>162</v>
      </c>
    </row>
    <row r="42" spans="1:11">
      <c r="A42" s="68">
        <v>41760</v>
      </c>
      <c r="B42" s="24">
        <f t="shared" si="41"/>
        <v>15</v>
      </c>
      <c r="C42" s="24">
        <f t="shared" si="42"/>
        <v>15.294969939647126</v>
      </c>
      <c r="D42" s="62"/>
      <c r="E42" s="63">
        <f>G150</f>
        <v>682327.6782729805</v>
      </c>
      <c r="F42" s="69">
        <f t="shared" si="30"/>
        <v>667032.70833333337</v>
      </c>
      <c r="G42" s="58">
        <f t="shared" ref="G42" si="45">C42</f>
        <v>15.294969939647126</v>
      </c>
      <c r="H42" s="59">
        <f t="shared" ref="H42" si="46">+I41-J41</f>
        <v>0.24970371696067772</v>
      </c>
      <c r="I42" s="59">
        <f t="shared" ref="I42" si="47">H42+G42</f>
        <v>15.544673656607804</v>
      </c>
      <c r="J42" s="54">
        <f t="shared" ref="J42" si="48">TRUNC(I42)</f>
        <v>15</v>
      </c>
      <c r="K42" s="86">
        <f t="shared" si="8"/>
        <v>160</v>
      </c>
    </row>
    <row r="43" spans="1:11">
      <c r="A43" s="70">
        <v>41791</v>
      </c>
      <c r="B43" s="26">
        <f t="shared" ref="B43:B45" si="49">ROUND(C43,0)</f>
        <v>11</v>
      </c>
      <c r="C43" s="26">
        <f t="shared" ref="C43:C45" si="50">(E43-F43)/1000</f>
        <v>10.628087352019502</v>
      </c>
      <c r="D43" s="21"/>
      <c r="E43" s="22">
        <f>G146</f>
        <v>692955.765625</v>
      </c>
      <c r="F43" s="71">
        <f t="shared" si="30"/>
        <v>682327.6782729805</v>
      </c>
      <c r="G43" s="58">
        <f t="shared" ref="G43" si="51">C43</f>
        <v>10.628087352019502</v>
      </c>
      <c r="H43" s="59">
        <f t="shared" ref="H43" si="52">+I42-J42</f>
        <v>0.54467365660780409</v>
      </c>
      <c r="I43" s="59">
        <f t="shared" ref="I43" si="53">H43+G43</f>
        <v>11.172761008627306</v>
      </c>
      <c r="J43" s="54">
        <f t="shared" ref="J43" si="54">TRUNC(I43)</f>
        <v>11</v>
      </c>
      <c r="K43" s="86">
        <f t="shared" si="8"/>
        <v>154</v>
      </c>
    </row>
    <row r="44" spans="1:11">
      <c r="A44" s="64">
        <v>41821</v>
      </c>
      <c r="B44" s="24">
        <f t="shared" si="49"/>
        <v>16</v>
      </c>
      <c r="C44" s="24">
        <f t="shared" si="50"/>
        <v>15.725315782035119</v>
      </c>
      <c r="D44" s="65"/>
      <c r="E44" s="66">
        <f>G142</f>
        <v>708681.08140703512</v>
      </c>
      <c r="F44" s="67">
        <f t="shared" ref="F44:F49" si="55">E43</f>
        <v>692955.765625</v>
      </c>
      <c r="G44" s="58">
        <f t="shared" ref="G44:G46" si="56">C44</f>
        <v>15.725315782035119</v>
      </c>
      <c r="H44" s="59">
        <f t="shared" ref="H44:H46" si="57">+I43-J43</f>
        <v>0.17276100862730637</v>
      </c>
      <c r="I44" s="59">
        <f t="shared" ref="I44:I46" si="58">H44+G44</f>
        <v>15.898076790662426</v>
      </c>
      <c r="J44" s="54">
        <f t="shared" ref="J44:J46" si="59">TRUNC(I44)</f>
        <v>15</v>
      </c>
      <c r="K44" s="86">
        <f t="shared" si="8"/>
        <v>156</v>
      </c>
    </row>
    <row r="45" spans="1:11">
      <c r="A45" s="68">
        <v>41852</v>
      </c>
      <c r="B45" s="24">
        <f t="shared" si="49"/>
        <v>7</v>
      </c>
      <c r="C45" s="24">
        <f t="shared" si="50"/>
        <v>7.492390409248765</v>
      </c>
      <c r="D45" s="62"/>
      <c r="E45" s="63">
        <f>G137</f>
        <v>716173.47181628388</v>
      </c>
      <c r="F45" s="69">
        <f t="shared" si="55"/>
        <v>708681.08140703512</v>
      </c>
      <c r="G45" s="58">
        <f t="shared" si="56"/>
        <v>7.492390409248765</v>
      </c>
      <c r="H45" s="59">
        <f t="shared" si="57"/>
        <v>0.89807679066242585</v>
      </c>
      <c r="I45" s="59">
        <f t="shared" si="58"/>
        <v>8.3904671999111908</v>
      </c>
      <c r="J45" s="54">
        <f t="shared" si="59"/>
        <v>8</v>
      </c>
      <c r="K45" s="86">
        <f t="shared" si="8"/>
        <v>154</v>
      </c>
    </row>
    <row r="46" spans="1:11">
      <c r="A46" s="70">
        <v>41883</v>
      </c>
      <c r="B46" s="26">
        <f t="shared" ref="B46:B48" si="60">ROUND(C46,0)</f>
        <v>11</v>
      </c>
      <c r="C46" s="26">
        <f t="shared" ref="C46:C48" si="61">(E46-F46)/1000</f>
        <v>10.829034247663222</v>
      </c>
      <c r="D46" s="21"/>
      <c r="E46" s="22">
        <f>G132</f>
        <v>727002.5060639471</v>
      </c>
      <c r="F46" s="71">
        <f t="shared" si="55"/>
        <v>716173.47181628388</v>
      </c>
      <c r="G46" s="58">
        <f t="shared" si="56"/>
        <v>10.829034247663222</v>
      </c>
      <c r="H46" s="59">
        <f t="shared" si="57"/>
        <v>0.39046719991119083</v>
      </c>
      <c r="I46" s="59">
        <f t="shared" si="58"/>
        <v>11.219501447574412</v>
      </c>
      <c r="J46" s="54">
        <f t="shared" si="59"/>
        <v>11</v>
      </c>
      <c r="K46" s="86">
        <f t="shared" si="8"/>
        <v>152</v>
      </c>
    </row>
    <row r="47" spans="1:11">
      <c r="A47" s="64">
        <v>41913</v>
      </c>
      <c r="B47" s="24">
        <f t="shared" si="60"/>
        <v>21</v>
      </c>
      <c r="C47" s="24">
        <f t="shared" si="61"/>
        <v>21.219971180825379</v>
      </c>
      <c r="D47" s="65"/>
      <c r="E47" s="66">
        <f>G127</f>
        <v>748222.47724477248</v>
      </c>
      <c r="F47" s="67">
        <f t="shared" si="55"/>
        <v>727002.5060639471</v>
      </c>
      <c r="G47" s="58">
        <f t="shared" ref="G47" si="62">C47</f>
        <v>21.219971180825379</v>
      </c>
      <c r="H47" s="59">
        <f t="shared" ref="H47" si="63">+I46-J46</f>
        <v>0.21950144757441237</v>
      </c>
      <c r="I47" s="59">
        <f t="shared" ref="I47" si="64">H47+G47</f>
        <v>21.439472628399791</v>
      </c>
      <c r="J47" s="54">
        <f t="shared" ref="J47" si="65">TRUNC(I47)</f>
        <v>21</v>
      </c>
      <c r="K47" s="86">
        <f t="shared" si="8"/>
        <v>159</v>
      </c>
    </row>
    <row r="48" spans="1:11">
      <c r="A48" s="68">
        <v>41944</v>
      </c>
      <c r="B48" s="24">
        <f t="shared" si="60"/>
        <v>20</v>
      </c>
      <c r="C48" s="24">
        <f t="shared" si="61"/>
        <v>20.427700916147092</v>
      </c>
      <c r="D48" s="62"/>
      <c r="E48" s="63">
        <f>G123</f>
        <v>768650.17816091958</v>
      </c>
      <c r="F48" s="69">
        <f t="shared" si="55"/>
        <v>748222.47724477248</v>
      </c>
      <c r="G48" s="58">
        <f t="shared" ref="G48" si="66">C48</f>
        <v>20.427700916147092</v>
      </c>
      <c r="H48" s="59">
        <f t="shared" ref="H48" si="67">+I47-J47</f>
        <v>0.43947262839979118</v>
      </c>
      <c r="I48" s="59">
        <f t="shared" ref="I48" si="68">H48+G48</f>
        <v>20.867173544546883</v>
      </c>
      <c r="J48" s="54">
        <f t="shared" ref="J48" si="69">TRUNC(I48)</f>
        <v>20</v>
      </c>
      <c r="K48" s="86">
        <f t="shared" si="8"/>
        <v>173</v>
      </c>
    </row>
    <row r="49" spans="1:16">
      <c r="A49" s="70">
        <v>41974</v>
      </c>
      <c r="B49" s="26">
        <f t="shared" ref="B49:B50" si="70">ROUND(C49,0)</f>
        <v>19</v>
      </c>
      <c r="C49" s="26">
        <f t="shared" ref="C49:C50" si="71">(E49-F49)/1000</f>
        <v>19.010988233860232</v>
      </c>
      <c r="D49" s="21"/>
      <c r="E49" s="22">
        <f>G119</f>
        <v>787661.16639477981</v>
      </c>
      <c r="F49" s="71">
        <f t="shared" si="55"/>
        <v>768650.17816091958</v>
      </c>
      <c r="G49" s="58">
        <f t="shared" ref="G49" si="72">C49</f>
        <v>19.010988233860232</v>
      </c>
      <c r="H49" s="59">
        <f t="shared" ref="H49" si="73">+I48-J48</f>
        <v>0.86717354454688333</v>
      </c>
      <c r="I49" s="59">
        <f t="shared" ref="I49" si="74">H49+G49</f>
        <v>19.878161778407115</v>
      </c>
      <c r="J49" s="54">
        <f t="shared" ref="J49" si="75">TRUNC(I49)</f>
        <v>19</v>
      </c>
      <c r="K49" s="86">
        <f t="shared" si="8"/>
        <v>192</v>
      </c>
    </row>
    <row r="50" spans="1:16">
      <c r="A50" s="64">
        <v>42005</v>
      </c>
      <c r="B50" s="24">
        <f t="shared" si="70"/>
        <v>22</v>
      </c>
      <c r="C50" s="24">
        <f t="shared" si="71"/>
        <v>22.323758106644732</v>
      </c>
      <c r="D50" s="65"/>
      <c r="E50" s="66">
        <f>G113</f>
        <v>809984.92450142454</v>
      </c>
      <c r="F50" s="67">
        <f>E49</f>
        <v>787661.16639477981</v>
      </c>
      <c r="G50" s="58">
        <f t="shared" ref="G50" si="76">C50</f>
        <v>22.323758106644732</v>
      </c>
      <c r="H50" s="59">
        <f t="shared" ref="H50" si="77">+I49-J49</f>
        <v>0.87816177840711518</v>
      </c>
      <c r="I50" s="59">
        <f t="shared" ref="I50" si="78">H50+G50</f>
        <v>23.201919885051847</v>
      </c>
      <c r="J50" s="54">
        <f t="shared" ref="J50" si="79">TRUNC(I50)</f>
        <v>23</v>
      </c>
      <c r="K50" s="86">
        <f t="shared" si="8"/>
        <v>202</v>
      </c>
    </row>
    <row r="51" spans="1:16">
      <c r="A51" s="68">
        <v>42036</v>
      </c>
      <c r="B51" s="24">
        <f t="shared" ref="B51" si="80">ROUND(C51,0)</f>
        <v>19</v>
      </c>
      <c r="C51" s="24">
        <f t="shared" ref="C51" si="81">(E51-F51)/1000</f>
        <v>19.0123005192196</v>
      </c>
      <c r="D51" s="62"/>
      <c r="E51" s="63">
        <f>G109</f>
        <v>828997.22502064414</v>
      </c>
      <c r="F51" s="69">
        <f>E50</f>
        <v>809984.92450142454</v>
      </c>
      <c r="G51" s="58">
        <f t="shared" ref="G51" si="82">C51</f>
        <v>19.0123005192196</v>
      </c>
      <c r="H51" s="59">
        <f t="shared" ref="H51" si="83">+I50-J50</f>
        <v>0.2019198850518471</v>
      </c>
      <c r="I51" s="59">
        <f t="shared" ref="I51" si="84">H51+G51</f>
        <v>19.214220404271448</v>
      </c>
      <c r="J51" s="54">
        <f t="shared" ref="J51" si="85">TRUNC(I51)</f>
        <v>19</v>
      </c>
      <c r="K51" s="86">
        <f t="shared" si="8"/>
        <v>205</v>
      </c>
    </row>
    <row r="52" spans="1:16">
      <c r="A52" s="70">
        <v>42064</v>
      </c>
      <c r="B52" s="26">
        <f t="shared" ref="B52:B53" si="86">ROUND(C52,0)</f>
        <v>20</v>
      </c>
      <c r="C52" s="26">
        <f t="shared" ref="C52:C53" si="87">(E52-F52)/1000</f>
        <v>20.159554541399704</v>
      </c>
      <c r="D52" s="21"/>
      <c r="E52" s="22">
        <f>G105</f>
        <v>849156.77956204384</v>
      </c>
      <c r="F52" s="71">
        <f>E51</f>
        <v>828997.22502064414</v>
      </c>
      <c r="G52" s="58">
        <f t="shared" ref="G52" si="88">C52</f>
        <v>20.159554541399704</v>
      </c>
      <c r="H52" s="59">
        <f t="shared" ref="H52" si="89">+I51-J51</f>
        <v>0.21422040427144751</v>
      </c>
      <c r="I52" s="59">
        <f t="shared" ref="I52" si="90">H52+G52</f>
        <v>20.373774945671151</v>
      </c>
      <c r="J52" s="54">
        <f t="shared" ref="J52" si="91">TRUNC(I52)</f>
        <v>20</v>
      </c>
      <c r="K52" s="86">
        <f t="shared" si="8"/>
        <v>203</v>
      </c>
    </row>
    <row r="53" spans="1:16">
      <c r="A53" s="64">
        <v>42095</v>
      </c>
      <c r="B53" s="24">
        <f t="shared" si="86"/>
        <v>20</v>
      </c>
      <c r="C53" s="24">
        <f t="shared" si="87"/>
        <v>20.225032032159042</v>
      </c>
      <c r="D53" s="65"/>
      <c r="E53" s="66">
        <f>G101</f>
        <v>869381.81159420288</v>
      </c>
      <c r="F53" s="67">
        <f>G105</f>
        <v>849156.77956204384</v>
      </c>
      <c r="G53" s="58">
        <f t="shared" ref="G53" si="92">C53</f>
        <v>20.225032032159042</v>
      </c>
      <c r="H53" s="59">
        <f t="shared" ref="H53" si="93">+I52-J52</f>
        <v>0.37377494567115122</v>
      </c>
      <c r="I53" s="59">
        <f t="shared" ref="I53" si="94">H53+G53</f>
        <v>20.598806977830193</v>
      </c>
      <c r="J53" s="54">
        <f t="shared" ref="J53" si="95">TRUNC(I53)</f>
        <v>20</v>
      </c>
      <c r="K53" s="86">
        <f t="shared" si="8"/>
        <v>201</v>
      </c>
    </row>
    <row r="54" spans="1:16">
      <c r="A54" s="68">
        <v>42125</v>
      </c>
      <c r="B54" s="24">
        <f t="shared" ref="B54" si="96">ROUND(C54,0)</f>
        <v>16</v>
      </c>
      <c r="C54" s="24">
        <f t="shared" ref="C54" si="97">(E54-F54)/1000</f>
        <v>16.315055789309671</v>
      </c>
      <c r="D54" s="62"/>
      <c r="E54" s="63">
        <f>G96</f>
        <v>885696.86738351255</v>
      </c>
      <c r="F54" s="69">
        <f t="shared" ref="F54:F59" si="98">E53</f>
        <v>869381.81159420288</v>
      </c>
      <c r="G54" s="58">
        <f t="shared" ref="G54" si="99">C54</f>
        <v>16.315055789309671</v>
      </c>
      <c r="H54" s="59">
        <f t="shared" ref="H54" si="100">+I53-J53</f>
        <v>0.59880697783019343</v>
      </c>
      <c r="I54" s="59">
        <f t="shared" ref="I54" si="101">H54+G54</f>
        <v>16.913862767139864</v>
      </c>
      <c r="J54" s="54">
        <f t="shared" ref="J54" si="102">TRUNC(I54)</f>
        <v>16</v>
      </c>
      <c r="K54" s="86">
        <f t="shared" si="8"/>
        <v>202</v>
      </c>
    </row>
    <row r="55" spans="1:16">
      <c r="A55" s="70">
        <v>42156</v>
      </c>
      <c r="B55" s="26">
        <f t="shared" ref="B55" si="103">ROUND(C55,0)</f>
        <v>14</v>
      </c>
      <c r="C55" s="26">
        <f t="shared" ref="C55" si="104">(E55-F55)/1000</f>
        <v>13.78148507550382</v>
      </c>
      <c r="D55" s="21"/>
      <c r="E55" s="22">
        <f>G92</f>
        <v>899478.35245901637</v>
      </c>
      <c r="F55" s="71">
        <f t="shared" si="98"/>
        <v>885696.86738351255</v>
      </c>
      <c r="G55" s="58">
        <f t="shared" ref="G55" si="105">C55</f>
        <v>13.78148507550382</v>
      </c>
      <c r="H55" s="59">
        <f t="shared" ref="H55" si="106">+I54-J54</f>
        <v>0.91386276713986447</v>
      </c>
      <c r="I55" s="59">
        <f t="shared" ref="I55" si="107">H55+G55</f>
        <v>14.695347842643685</v>
      </c>
      <c r="J55" s="54">
        <f t="shared" ref="J55" si="108">TRUNC(I55)</f>
        <v>14</v>
      </c>
      <c r="K55" s="86">
        <f t="shared" si="8"/>
        <v>205</v>
      </c>
    </row>
    <row r="56" spans="1:16">
      <c r="A56" s="64">
        <v>42186</v>
      </c>
      <c r="B56" s="24">
        <f t="shared" ref="B56" si="109">ROUND(C56,0)</f>
        <v>9</v>
      </c>
      <c r="C56" s="24">
        <f t="shared" ref="C56" si="110">(E56-F56)/1000</f>
        <v>9.136191781384289</v>
      </c>
      <c r="D56" s="21"/>
      <c r="E56" s="66">
        <f>G88</f>
        <v>908614.54424040066</v>
      </c>
      <c r="F56" s="67">
        <f t="shared" si="98"/>
        <v>899478.35245901637</v>
      </c>
      <c r="G56" s="58">
        <f t="shared" ref="G56" si="111">C56</f>
        <v>9.136191781384289</v>
      </c>
      <c r="H56" s="59">
        <f t="shared" ref="H56" si="112">+I55-J55</f>
        <v>0.69534784264368454</v>
      </c>
      <c r="I56" s="59">
        <f t="shared" ref="I56" si="113">H56+G56</f>
        <v>9.8315396240279735</v>
      </c>
      <c r="J56" s="54">
        <f t="shared" ref="J56" si="114">TRUNC(I56)</f>
        <v>9</v>
      </c>
      <c r="K56" s="86">
        <f t="shared" si="8"/>
        <v>198</v>
      </c>
    </row>
    <row r="57" spans="1:16">
      <c r="A57" s="68">
        <v>42217</v>
      </c>
      <c r="B57" s="24">
        <f t="shared" ref="B57" si="115">ROUND(C57,0)</f>
        <v>7</v>
      </c>
      <c r="C57" s="24">
        <f t="shared" ref="C57" si="116">(E57-F57)/1000</f>
        <v>7.0341987763590881</v>
      </c>
      <c r="D57" s="62"/>
      <c r="E57" s="63">
        <f>G83</f>
        <v>915648.74301675975</v>
      </c>
      <c r="F57" s="69">
        <f t="shared" si="98"/>
        <v>908614.54424040066</v>
      </c>
      <c r="G57" s="58">
        <f t="shared" ref="G57" si="117">C57</f>
        <v>7.0341987763590881</v>
      </c>
      <c r="H57" s="59">
        <f t="shared" ref="H57" si="118">+I56-J56</f>
        <v>0.83153962402797355</v>
      </c>
      <c r="I57" s="59">
        <f t="shared" ref="I57" si="119">H57+G57</f>
        <v>7.8657384003870616</v>
      </c>
      <c r="J57" s="54">
        <f t="shared" ref="J57" si="120">TRUNC(I57)</f>
        <v>7</v>
      </c>
      <c r="K57" s="86">
        <f t="shared" si="8"/>
        <v>198</v>
      </c>
    </row>
    <row r="58" spans="1:16">
      <c r="A58" s="70">
        <v>42248</v>
      </c>
      <c r="B58" s="26">
        <f t="shared" ref="B58:B60" si="121">ROUND(C58,0)</f>
        <v>10</v>
      </c>
      <c r="C58" s="26">
        <f t="shared" ref="C58:C60" si="122">(E58-F58)/1000</f>
        <v>9.9998829001106788</v>
      </c>
      <c r="D58" s="21"/>
      <c r="E58" s="22">
        <f>G79</f>
        <v>925648.62591687043</v>
      </c>
      <c r="F58" s="71">
        <f t="shared" si="98"/>
        <v>915648.74301675975</v>
      </c>
      <c r="G58" s="58">
        <f t="shared" ref="G58" si="123">C58</f>
        <v>9.9998829001106788</v>
      </c>
      <c r="H58" s="59">
        <f t="shared" ref="H58" si="124">+I57-J57</f>
        <v>0.86573840038706162</v>
      </c>
      <c r="I58" s="59">
        <f t="shared" ref="I58" si="125">H58+G58</f>
        <v>10.86562130049774</v>
      </c>
      <c r="J58" s="54">
        <f t="shared" ref="J58" si="126">TRUNC(I58)</f>
        <v>10</v>
      </c>
      <c r="K58" s="86">
        <f t="shared" si="8"/>
        <v>197</v>
      </c>
    </row>
    <row r="59" spans="1:16">
      <c r="A59" s="64">
        <v>42278</v>
      </c>
      <c r="B59" s="24">
        <f t="shared" si="121"/>
        <v>23</v>
      </c>
      <c r="C59" s="24">
        <f t="shared" si="122"/>
        <v>23.163374083129572</v>
      </c>
      <c r="D59" s="65"/>
      <c r="E59" s="66">
        <f>C75</f>
        <v>948812</v>
      </c>
      <c r="F59" s="67">
        <f t="shared" si="98"/>
        <v>925648.62591687043</v>
      </c>
      <c r="G59" s="58">
        <f t="shared" ref="G59" si="127">C59</f>
        <v>23.163374083129572</v>
      </c>
      <c r="H59" s="59">
        <f t="shared" ref="H59" si="128">+I58-J58</f>
        <v>0.86562130049773955</v>
      </c>
      <c r="I59" s="59">
        <f t="shared" ref="I59" si="129">H59+G59</f>
        <v>24.028995383627311</v>
      </c>
      <c r="J59" s="54">
        <f t="shared" ref="J59" si="130">TRUNC(I59)</f>
        <v>24</v>
      </c>
      <c r="K59" s="86">
        <f t="shared" si="8"/>
        <v>199</v>
      </c>
      <c r="P59" s="18"/>
    </row>
    <row r="60" spans="1:16">
      <c r="A60" s="68">
        <v>42309</v>
      </c>
      <c r="B60" s="24">
        <f t="shared" si="121"/>
        <v>18</v>
      </c>
      <c r="C60" s="24">
        <f t="shared" si="122"/>
        <v>17.669372534696826</v>
      </c>
      <c r="D60" s="62"/>
      <c r="E60" s="63">
        <f>G72</f>
        <v>966481.37253469683</v>
      </c>
      <c r="F60" s="69">
        <f>E59</f>
        <v>948812</v>
      </c>
      <c r="G60" s="58">
        <f t="shared" ref="G60" si="131">C60</f>
        <v>17.669372534696826</v>
      </c>
      <c r="H60" s="59">
        <f t="shared" ref="H60" si="132">+I59-J59</f>
        <v>2.8995383627311355E-2</v>
      </c>
      <c r="I60" s="59">
        <f t="shared" ref="I60" si="133">H60+G60</f>
        <v>17.698367918324138</v>
      </c>
      <c r="J60" s="54">
        <f t="shared" ref="J60" si="134">TRUNC(I60)</f>
        <v>17</v>
      </c>
      <c r="K60" s="86">
        <f t="shared" ref="K60" si="135">SUM(B49:B60)</f>
        <v>197</v>
      </c>
      <c r="P60" s="18"/>
    </row>
    <row r="61" spans="1:16">
      <c r="A61" s="70">
        <v>42339</v>
      </c>
      <c r="B61" s="26">
        <f t="shared" ref="B61" si="136">ROUND(C61,0)</f>
        <v>0</v>
      </c>
      <c r="C61" s="26">
        <f t="shared" ref="C61" si="137">(E61-F61)/1000</f>
        <v>0</v>
      </c>
      <c r="D61" s="21"/>
      <c r="E61" s="22"/>
      <c r="F61" s="71"/>
      <c r="G61" s="58"/>
      <c r="H61" s="59"/>
      <c r="I61" s="59"/>
      <c r="J61" s="54"/>
      <c r="P61" s="18"/>
    </row>
    <row r="62" spans="1:16">
      <c r="A62" s="93"/>
      <c r="B62" s="24"/>
      <c r="C62" s="24"/>
      <c r="D62" s="62"/>
      <c r="E62" s="63"/>
      <c r="F62" s="63"/>
      <c r="G62" s="59"/>
      <c r="H62" s="59"/>
      <c r="I62" s="59"/>
      <c r="J62" s="53"/>
      <c r="P62" s="18"/>
    </row>
    <row r="63" spans="1:16">
      <c r="A63" s="93"/>
      <c r="B63" s="24"/>
      <c r="C63" s="24"/>
      <c r="D63" s="62"/>
      <c r="E63" s="63"/>
      <c r="F63" s="63"/>
      <c r="G63" s="59"/>
      <c r="H63" s="59"/>
      <c r="I63" s="59"/>
      <c r="J63" s="53"/>
      <c r="P63" s="18"/>
    </row>
    <row r="64" spans="1:16">
      <c r="A64" s="93"/>
      <c r="B64" s="24"/>
      <c r="C64" s="24"/>
      <c r="D64" s="62"/>
      <c r="E64" s="63"/>
      <c r="F64" s="63"/>
      <c r="G64" s="59"/>
      <c r="H64" s="59"/>
      <c r="I64" s="59"/>
      <c r="J64" s="53"/>
      <c r="P64" s="18"/>
    </row>
    <row r="65" spans="1:16">
      <c r="A65" s="93"/>
      <c r="B65" s="24"/>
      <c r="C65" s="24"/>
      <c r="D65" s="62"/>
      <c r="E65" s="63"/>
      <c r="F65" s="63"/>
      <c r="G65" s="59"/>
      <c r="H65" s="59"/>
      <c r="I65" s="59"/>
      <c r="J65" s="53"/>
      <c r="P65" s="18"/>
    </row>
    <row r="66" spans="1:16">
      <c r="A66" s="17"/>
      <c r="F66" s="12"/>
      <c r="G66" s="12"/>
      <c r="H66" s="12"/>
      <c r="I66" s="12"/>
      <c r="J66" s="12"/>
      <c r="P66" s="18"/>
    </row>
    <row r="67" spans="1:16">
      <c r="A67" s="14" t="s">
        <v>2</v>
      </c>
      <c r="B67" s="14"/>
      <c r="C67" s="14"/>
      <c r="D67" s="14"/>
      <c r="E67" s="14" t="s">
        <v>3</v>
      </c>
      <c r="F67" s="14"/>
      <c r="G67" s="14"/>
      <c r="H67" s="14"/>
      <c r="I67" s="14"/>
      <c r="J67" s="14"/>
      <c r="K67" s="87"/>
      <c r="L67" s="14"/>
      <c r="M67" s="14"/>
    </row>
    <row r="68" spans="1:16">
      <c r="C68" s="4" t="s">
        <v>15</v>
      </c>
      <c r="G68" s="4" t="s">
        <v>17</v>
      </c>
      <c r="H68" s="6" t="s">
        <v>6</v>
      </c>
      <c r="I68" s="6" t="s">
        <v>6</v>
      </c>
    </row>
    <row r="69" spans="1:16">
      <c r="A69" s="5" t="s">
        <v>0</v>
      </c>
      <c r="B69" s="5" t="s">
        <v>1</v>
      </c>
      <c r="C69" s="5" t="s">
        <v>16</v>
      </c>
      <c r="E69" s="5" t="s">
        <v>0</v>
      </c>
      <c r="F69" s="5" t="s">
        <v>1</v>
      </c>
      <c r="G69" s="5" t="s">
        <v>16</v>
      </c>
      <c r="H69" s="5" t="s">
        <v>7</v>
      </c>
      <c r="I69" s="7" t="s">
        <v>8</v>
      </c>
      <c r="J69" s="5"/>
    </row>
    <row r="70" spans="1:16">
      <c r="A70" s="6"/>
      <c r="B70" s="6"/>
      <c r="C70" s="8"/>
      <c r="E70" s="6"/>
      <c r="F70" s="6"/>
      <c r="G70" s="6"/>
      <c r="H70" s="6"/>
      <c r="I70" s="35"/>
      <c r="J70" s="6"/>
    </row>
    <row r="71" spans="1:16">
      <c r="A71" s="81">
        <v>42339</v>
      </c>
      <c r="B71" s="36">
        <v>0.44722222222222219</v>
      </c>
      <c r="C71" s="8">
        <v>966535</v>
      </c>
      <c r="E71" s="6"/>
      <c r="F71" s="6"/>
      <c r="G71" s="6"/>
      <c r="H71" s="6"/>
      <c r="I71" s="35"/>
      <c r="J71" s="6"/>
    </row>
    <row r="72" spans="1:16">
      <c r="A72" s="81"/>
      <c r="B72" s="6"/>
      <c r="C72" s="8"/>
      <c r="E72" s="92">
        <v>42339</v>
      </c>
      <c r="F72" s="36">
        <v>0</v>
      </c>
      <c r="G72" s="12">
        <f>C73+(C71-C73)*H72/(H72+I72)</f>
        <v>966481.37253469683</v>
      </c>
      <c r="H72" s="25">
        <f>5+12*60</f>
        <v>725</v>
      </c>
      <c r="I72" s="25">
        <f>10*60+44</f>
        <v>644</v>
      </c>
      <c r="J72" s="6"/>
    </row>
    <row r="73" spans="1:16">
      <c r="A73" s="81">
        <v>42338</v>
      </c>
      <c r="B73" s="36">
        <v>0.49652777777777773</v>
      </c>
      <c r="C73" s="8">
        <v>966421</v>
      </c>
      <c r="E73" s="6"/>
      <c r="F73" s="6"/>
      <c r="G73" s="6"/>
      <c r="H73" s="6"/>
      <c r="I73" s="35"/>
      <c r="J73" s="6"/>
    </row>
    <row r="74" spans="1:16">
      <c r="A74" s="81">
        <v>42333</v>
      </c>
      <c r="B74" s="36">
        <v>0.33402777777777781</v>
      </c>
      <c r="C74" s="8">
        <v>963914</v>
      </c>
      <c r="E74" s="6"/>
      <c r="F74" s="6"/>
      <c r="G74" s="6"/>
      <c r="H74" s="6"/>
      <c r="I74" s="35"/>
      <c r="J74" s="6"/>
    </row>
    <row r="75" spans="1:16">
      <c r="A75" s="81">
        <v>42310</v>
      </c>
      <c r="B75" s="36">
        <v>0.32777777777777778</v>
      </c>
      <c r="C75" s="8">
        <v>948812</v>
      </c>
      <c r="E75" s="6"/>
      <c r="F75" s="6"/>
      <c r="G75" s="6"/>
      <c r="H75" s="6"/>
      <c r="I75" s="35"/>
      <c r="J75" s="6"/>
    </row>
    <row r="76" spans="1:16">
      <c r="A76" s="81"/>
      <c r="B76" s="6"/>
      <c r="C76" s="8"/>
      <c r="E76" s="81">
        <v>42309</v>
      </c>
      <c r="F76" s="36">
        <v>0</v>
      </c>
      <c r="G76" s="12">
        <f>C77+(C75-C77)*H76/(H76+I76)</f>
        <v>948150.24193229061</v>
      </c>
      <c r="H76" s="25">
        <f>30+(15*60)+(5*1440)</f>
        <v>8130</v>
      </c>
      <c r="I76" s="25">
        <f>1440+60+7*60+52</f>
        <v>1972</v>
      </c>
      <c r="J76" s="6"/>
    </row>
    <row r="77" spans="1:16">
      <c r="A77" s="81">
        <v>42303</v>
      </c>
      <c r="B77" s="36">
        <v>0.35416666666666669</v>
      </c>
      <c r="C77" s="8">
        <v>945422</v>
      </c>
      <c r="E77" s="6"/>
      <c r="F77" s="6"/>
      <c r="G77" s="6"/>
      <c r="H77" s="6"/>
      <c r="I77" s="35"/>
      <c r="J77" s="6"/>
    </row>
    <row r="78" spans="1:16">
      <c r="A78" s="81">
        <v>42278</v>
      </c>
      <c r="B78" s="36">
        <v>0.35416666666666669</v>
      </c>
      <c r="C78" s="8">
        <v>926389</v>
      </c>
      <c r="E78" s="6"/>
      <c r="F78" s="6"/>
      <c r="G78" s="6"/>
      <c r="H78" s="6"/>
      <c r="I78" s="35"/>
      <c r="J78" s="6"/>
    </row>
    <row r="79" spans="1:16">
      <c r="A79" s="81"/>
      <c r="B79" s="6"/>
      <c r="C79" s="8"/>
      <c r="E79" s="81">
        <v>42278</v>
      </c>
      <c r="F79" s="36">
        <v>0</v>
      </c>
      <c r="G79" s="12">
        <f>C80+(C78-C80)*I79/(H79+I79)</f>
        <v>925648.62591687043</v>
      </c>
      <c r="H79" s="25">
        <f>12*60-3</f>
        <v>717</v>
      </c>
      <c r="I79" s="25">
        <f>30+8*60</f>
        <v>510</v>
      </c>
      <c r="J79" s="6"/>
    </row>
    <row r="80" spans="1:16">
      <c r="A80" s="81">
        <v>42277</v>
      </c>
      <c r="B80" s="36">
        <v>0.50208333333333333</v>
      </c>
      <c r="C80" s="8">
        <v>925122</v>
      </c>
      <c r="E80" s="6"/>
      <c r="F80" s="6"/>
      <c r="G80" s="6"/>
      <c r="H80" s="6"/>
      <c r="I80" s="35"/>
      <c r="J80" s="6"/>
    </row>
    <row r="81" spans="1:10">
      <c r="A81" s="81">
        <v>42274</v>
      </c>
      <c r="B81" s="36">
        <v>0.33611111111111108</v>
      </c>
      <c r="C81" s="84" t="s">
        <v>53</v>
      </c>
      <c r="E81" s="6"/>
      <c r="F81" s="6"/>
      <c r="G81" s="6"/>
      <c r="H81" s="6"/>
      <c r="I81" s="35"/>
      <c r="J81" s="6"/>
    </row>
    <row r="82" spans="1:10">
      <c r="A82" s="81">
        <v>42248</v>
      </c>
      <c r="B82" s="36">
        <v>0.30902777777777779</v>
      </c>
      <c r="C82" s="8">
        <v>915695</v>
      </c>
      <c r="E82" s="6"/>
      <c r="F82" s="6"/>
      <c r="G82" s="6"/>
      <c r="H82" s="6"/>
      <c r="I82" s="35"/>
      <c r="J82" s="6"/>
    </row>
    <row r="83" spans="1:10">
      <c r="A83" s="81"/>
      <c r="B83" s="6"/>
      <c r="C83" s="8"/>
      <c r="E83" s="81">
        <v>42248</v>
      </c>
      <c r="F83" s="36">
        <v>0</v>
      </c>
      <c r="G83" s="12">
        <f>C84+(C82-C84)*I83/(H83+I83)</f>
        <v>915648.74301675975</v>
      </c>
      <c r="H83" s="25">
        <f>30+7*60</f>
        <v>450</v>
      </c>
      <c r="I83" s="25">
        <f>7*60+25</f>
        <v>445</v>
      </c>
      <c r="J83" s="6"/>
    </row>
    <row r="84" spans="1:10">
      <c r="A84" s="81">
        <v>42247</v>
      </c>
      <c r="B84" s="36">
        <v>0.6875</v>
      </c>
      <c r="C84" s="8">
        <v>915603</v>
      </c>
      <c r="E84" s="6"/>
      <c r="F84" s="6"/>
      <c r="G84" s="6"/>
      <c r="H84" s="6"/>
      <c r="I84" s="35"/>
      <c r="J84" s="6"/>
    </row>
    <row r="85" spans="1:10">
      <c r="A85" s="81">
        <v>42247</v>
      </c>
      <c r="B85" s="36">
        <v>0.3430555555555555</v>
      </c>
      <c r="C85" s="8">
        <v>915406</v>
      </c>
      <c r="E85" s="6"/>
      <c r="F85" s="6"/>
      <c r="G85" s="6"/>
      <c r="H85" s="6"/>
      <c r="I85" s="35"/>
      <c r="J85" s="6"/>
    </row>
    <row r="86" spans="1:10">
      <c r="A86" s="81">
        <v>42242</v>
      </c>
      <c r="B86" s="36">
        <v>0.52430555555555558</v>
      </c>
      <c r="C86" s="8">
        <v>914385</v>
      </c>
      <c r="E86" s="6"/>
      <c r="F86" s="6"/>
      <c r="G86" s="6"/>
      <c r="H86" s="6"/>
      <c r="I86" s="35"/>
      <c r="J86" s="6"/>
    </row>
    <row r="87" spans="1:10">
      <c r="A87" s="81">
        <v>42217</v>
      </c>
      <c r="B87" s="36">
        <v>0.86249999999999993</v>
      </c>
      <c r="C87" s="8">
        <v>908613</v>
      </c>
      <c r="E87" s="6"/>
      <c r="F87" s="6"/>
      <c r="G87" s="6"/>
      <c r="H87" s="6"/>
      <c r="I87" s="35"/>
      <c r="J87" s="6"/>
    </row>
    <row r="88" spans="1:10">
      <c r="A88" s="81"/>
      <c r="B88" s="6"/>
      <c r="C88" s="8"/>
      <c r="E88" s="81">
        <v>42217</v>
      </c>
      <c r="F88" s="36">
        <v>0</v>
      </c>
      <c r="G88" s="12">
        <f>C89+(C87-C89)*I88/(H88+I88)</f>
        <v>908614.54424040066</v>
      </c>
      <c r="H88" s="25">
        <f>15+9*60</f>
        <v>555</v>
      </c>
      <c r="I88" s="25">
        <f>20*60+42</f>
        <v>1242</v>
      </c>
      <c r="J88" s="6"/>
    </row>
    <row r="89" spans="1:10">
      <c r="A89" s="81">
        <v>42216</v>
      </c>
      <c r="B89" s="36">
        <v>0.61458333333333337</v>
      </c>
      <c r="C89" s="8">
        <v>908618</v>
      </c>
      <c r="E89" s="6"/>
      <c r="F89" s="6"/>
      <c r="G89" s="6"/>
      <c r="H89" s="6"/>
      <c r="I89" s="35"/>
      <c r="J89" s="6"/>
    </row>
    <row r="90" spans="1:10">
      <c r="A90" s="81">
        <v>42209</v>
      </c>
      <c r="B90" s="36">
        <v>0.6875</v>
      </c>
      <c r="C90" s="8">
        <v>907031</v>
      </c>
      <c r="E90" s="81"/>
      <c r="F90" s="6"/>
      <c r="G90" s="6"/>
      <c r="H90" s="6"/>
      <c r="I90" s="35"/>
      <c r="J90" s="6"/>
    </row>
    <row r="91" spans="1:10">
      <c r="A91" s="81">
        <v>42186</v>
      </c>
      <c r="B91" s="36">
        <v>0.27083333333333331</v>
      </c>
      <c r="C91" s="8">
        <v>899577</v>
      </c>
      <c r="E91" s="81"/>
      <c r="F91" s="6"/>
      <c r="G91" s="6"/>
      <c r="H91" s="6"/>
      <c r="I91" s="35"/>
      <c r="J91" s="6"/>
    </row>
    <row r="92" spans="1:10">
      <c r="A92" s="81"/>
      <c r="B92" s="36"/>
      <c r="C92" s="8"/>
      <c r="E92" s="81">
        <v>42186</v>
      </c>
      <c r="F92" s="36">
        <v>0</v>
      </c>
      <c r="G92" s="12">
        <f>C93+(C91-C93)*I92/(H92+I92)</f>
        <v>899478.35245901637</v>
      </c>
      <c r="H92" s="25">
        <f>14*60-10</f>
        <v>830</v>
      </c>
      <c r="I92" s="25">
        <f>6*60+30</f>
        <v>390</v>
      </c>
      <c r="J92" s="6"/>
    </row>
    <row r="93" spans="1:10">
      <c r="A93" s="81">
        <v>42185</v>
      </c>
      <c r="B93" s="36">
        <v>0.4236111111111111</v>
      </c>
      <c r="C93" s="8">
        <v>899432</v>
      </c>
      <c r="E93" s="81"/>
      <c r="F93" s="6"/>
      <c r="G93" s="6"/>
      <c r="H93" s="6"/>
      <c r="I93" s="35"/>
      <c r="J93" s="6"/>
    </row>
    <row r="94" spans="1:10">
      <c r="A94" s="81">
        <v>42178</v>
      </c>
      <c r="B94" s="36">
        <v>0.37361111111111112</v>
      </c>
      <c r="C94" s="8">
        <v>896398</v>
      </c>
      <c r="E94" s="81"/>
      <c r="F94" s="6"/>
      <c r="G94" s="6"/>
      <c r="H94" s="6"/>
      <c r="I94" s="35"/>
      <c r="J94" s="6"/>
    </row>
    <row r="95" spans="1:10">
      <c r="A95" s="81">
        <v>42156</v>
      </c>
      <c r="B95" s="36">
        <v>0.31944444444444448</v>
      </c>
      <c r="C95" s="8">
        <v>886345</v>
      </c>
      <c r="E95" s="81"/>
      <c r="F95" s="6"/>
      <c r="G95" s="6"/>
      <c r="H95" s="6"/>
      <c r="I95" s="35"/>
      <c r="J95" s="6"/>
    </row>
    <row r="96" spans="1:10">
      <c r="A96" s="81"/>
      <c r="B96" s="36"/>
      <c r="C96" s="8"/>
      <c r="E96" s="81">
        <v>42156</v>
      </c>
      <c r="F96" s="36">
        <v>0</v>
      </c>
      <c r="G96" s="12">
        <f>C97+(C95-C97)*I96/(H96+I96)</f>
        <v>885696.86738351255</v>
      </c>
      <c r="H96" s="25">
        <f>15*60+35</f>
        <v>935</v>
      </c>
      <c r="I96" s="25">
        <f>7*60+40</f>
        <v>460</v>
      </c>
      <c r="J96" s="6"/>
    </row>
    <row r="97" spans="1:10">
      <c r="A97" s="81">
        <v>42155</v>
      </c>
      <c r="B97" s="36">
        <v>0.35069444444444442</v>
      </c>
      <c r="C97" s="8">
        <v>885378</v>
      </c>
      <c r="E97" s="81"/>
      <c r="F97" s="6"/>
      <c r="G97" s="6"/>
      <c r="H97" s="6"/>
      <c r="I97" s="35"/>
      <c r="J97" s="6"/>
    </row>
    <row r="98" spans="1:10">
      <c r="A98" s="81">
        <v>42153</v>
      </c>
      <c r="B98" s="36">
        <v>0.53125</v>
      </c>
      <c r="C98" s="8">
        <v>884458</v>
      </c>
      <c r="E98" s="81"/>
      <c r="F98" s="6"/>
      <c r="G98" s="6"/>
      <c r="H98" s="6"/>
      <c r="I98" s="35"/>
      <c r="J98" s="6"/>
    </row>
    <row r="99" spans="1:10">
      <c r="A99" s="81">
        <v>42146</v>
      </c>
      <c r="B99" s="36">
        <v>0.4236111111111111</v>
      </c>
      <c r="C99" s="8">
        <v>877968</v>
      </c>
      <c r="E99" s="81"/>
      <c r="F99" s="6"/>
      <c r="G99" s="6"/>
      <c r="H99" s="6"/>
      <c r="I99" s="35"/>
      <c r="J99" s="6"/>
    </row>
    <row r="100" spans="1:10">
      <c r="A100" s="81">
        <v>42125</v>
      </c>
      <c r="B100" s="36">
        <v>0.49305555555555558</v>
      </c>
      <c r="C100" s="8">
        <v>869481</v>
      </c>
      <c r="E100" s="81"/>
      <c r="F100" s="6"/>
      <c r="G100" s="6"/>
      <c r="H100" s="6"/>
      <c r="I100" s="35"/>
      <c r="J100" s="6"/>
    </row>
    <row r="101" spans="1:10">
      <c r="A101" s="81"/>
      <c r="B101" s="36"/>
      <c r="C101" s="8"/>
      <c r="E101" s="81">
        <v>42125</v>
      </c>
      <c r="F101" s="36">
        <v>0</v>
      </c>
      <c r="G101" s="12">
        <f>C102+(C100-C102)*I101/(H101+I101)</f>
        <v>869381.81159420288</v>
      </c>
      <c r="H101" s="25">
        <f>58+60</f>
        <v>118</v>
      </c>
      <c r="I101" s="25">
        <f>11*60+50</f>
        <v>710</v>
      </c>
      <c r="J101" s="6"/>
    </row>
    <row r="102" spans="1:10">
      <c r="A102" s="81">
        <v>42124</v>
      </c>
      <c r="B102" s="36">
        <v>0.91805555555555562</v>
      </c>
      <c r="C102" s="8">
        <v>868785</v>
      </c>
      <c r="E102" s="81"/>
      <c r="F102" s="6"/>
      <c r="G102" s="6"/>
      <c r="H102" s="6"/>
      <c r="I102" s="35"/>
      <c r="J102" s="6"/>
    </row>
    <row r="103" spans="1:10">
      <c r="A103" s="81">
        <v>42116</v>
      </c>
      <c r="B103" s="36">
        <v>0.78819444444444453</v>
      </c>
      <c r="C103" s="8">
        <v>864418</v>
      </c>
      <c r="E103" s="81"/>
      <c r="F103" s="6"/>
      <c r="G103" s="6"/>
      <c r="H103" s="6"/>
      <c r="I103" s="35"/>
      <c r="J103" s="6"/>
    </row>
    <row r="104" spans="1:10">
      <c r="A104" s="81">
        <v>42095</v>
      </c>
      <c r="B104" s="36">
        <v>0.33124999999999999</v>
      </c>
      <c r="C104" s="8">
        <v>849557</v>
      </c>
      <c r="E104" s="81"/>
      <c r="F104" s="6"/>
      <c r="G104" s="6"/>
      <c r="H104" s="6"/>
      <c r="I104" s="35"/>
      <c r="J104" s="6"/>
    </row>
    <row r="105" spans="1:10">
      <c r="A105" s="81"/>
      <c r="B105" s="6"/>
      <c r="C105" s="6"/>
      <c r="E105" s="81">
        <v>42095</v>
      </c>
      <c r="F105" s="36">
        <v>0</v>
      </c>
      <c r="G105" s="12">
        <f>C106+(C104-C106)*I105/(H105+I105)</f>
        <v>849156.77956204384</v>
      </c>
      <c r="H105" s="25">
        <f>53+14*60</f>
        <v>893</v>
      </c>
      <c r="I105" s="25">
        <f>57+7*60</f>
        <v>477</v>
      </c>
      <c r="J105" s="6"/>
    </row>
    <row r="106" spans="1:10">
      <c r="A106" s="81">
        <v>42094</v>
      </c>
      <c r="B106" s="36">
        <v>0.37986111111111115</v>
      </c>
      <c r="C106" s="8">
        <v>848943</v>
      </c>
      <c r="E106" s="81"/>
      <c r="F106" s="6"/>
      <c r="G106" s="6"/>
      <c r="H106" s="6"/>
      <c r="I106" s="35"/>
      <c r="J106" s="6"/>
    </row>
    <row r="107" spans="1:10">
      <c r="A107" s="81">
        <v>42089</v>
      </c>
      <c r="B107" s="36">
        <v>0.66666666666666663</v>
      </c>
      <c r="C107" s="8">
        <v>845943</v>
      </c>
      <c r="E107" s="81"/>
      <c r="F107" s="6"/>
      <c r="G107" s="6"/>
      <c r="H107" s="6"/>
      <c r="I107" s="35"/>
      <c r="J107" s="6"/>
    </row>
    <row r="108" spans="1:10">
      <c r="A108" s="81">
        <v>42064</v>
      </c>
      <c r="B108" s="36">
        <v>0.38680555555555557</v>
      </c>
      <c r="C108" s="8">
        <v>829152</v>
      </c>
      <c r="E108" s="81"/>
      <c r="F108" s="6"/>
      <c r="G108" s="6"/>
      <c r="H108" s="6"/>
      <c r="I108" s="35"/>
      <c r="J108" s="6"/>
    </row>
    <row r="109" spans="1:10">
      <c r="A109" s="81"/>
      <c r="B109" s="6"/>
      <c r="C109" s="8"/>
      <c r="E109" s="81">
        <v>42064</v>
      </c>
      <c r="F109" s="36">
        <v>0</v>
      </c>
      <c r="G109" s="12">
        <f>C110+(C108-C110)*I109/(H109+I109)</f>
        <v>828997.22502064414</v>
      </c>
      <c r="H109" s="25">
        <f>5+7*60+1440</f>
        <v>1865</v>
      </c>
      <c r="I109" s="25">
        <f>9*60+17</f>
        <v>557</v>
      </c>
      <c r="J109" s="6"/>
    </row>
    <row r="110" spans="1:10">
      <c r="A110" s="81">
        <v>42062</v>
      </c>
      <c r="B110" s="36">
        <v>0.70486111111111116</v>
      </c>
      <c r="C110" s="8">
        <v>828951</v>
      </c>
      <c r="E110" s="81"/>
      <c r="F110" s="6"/>
      <c r="G110" s="6"/>
      <c r="H110" s="6"/>
      <c r="I110" s="35"/>
      <c r="J110" s="6"/>
    </row>
    <row r="111" spans="1:10">
      <c r="A111" s="81">
        <v>42059</v>
      </c>
      <c r="B111" s="36">
        <v>0.47222222222222227</v>
      </c>
      <c r="C111" s="8">
        <v>827299</v>
      </c>
      <c r="E111" s="81"/>
      <c r="F111" s="6"/>
      <c r="G111" s="6"/>
      <c r="H111" s="6"/>
      <c r="I111" s="35"/>
      <c r="J111" s="6"/>
    </row>
    <row r="112" spans="1:10">
      <c r="A112" s="81">
        <v>42036</v>
      </c>
      <c r="B112" s="36">
        <v>0.31736111111111115</v>
      </c>
      <c r="C112" s="8">
        <v>810291</v>
      </c>
      <c r="E112" s="81"/>
      <c r="F112" s="6"/>
      <c r="G112" s="6"/>
      <c r="H112" s="6"/>
      <c r="I112" s="35"/>
      <c r="J112" s="6"/>
    </row>
    <row r="113" spans="1:10">
      <c r="A113" s="81"/>
      <c r="B113" s="6"/>
      <c r="C113" s="8"/>
      <c r="E113" s="81">
        <v>42036</v>
      </c>
      <c r="F113" s="36">
        <v>0</v>
      </c>
      <c r="G113" s="12">
        <f>C114+(C112-C114)*I113/(H113+I113)</f>
        <v>809984.92450142454</v>
      </c>
      <c r="H113" s="25">
        <f>5+4*60</f>
        <v>245</v>
      </c>
      <c r="I113" s="25">
        <f>7*60+37</f>
        <v>457</v>
      </c>
      <c r="J113" s="6"/>
    </row>
    <row r="114" spans="1:10">
      <c r="A114" s="81">
        <v>42035</v>
      </c>
      <c r="B114" s="36">
        <v>0.82986111111111116</v>
      </c>
      <c r="C114" s="8">
        <v>809414</v>
      </c>
      <c r="E114" s="81"/>
      <c r="F114" s="6"/>
      <c r="G114" s="6"/>
      <c r="H114" s="6"/>
      <c r="I114" s="35"/>
      <c r="J114" s="6"/>
    </row>
    <row r="115" spans="1:10">
      <c r="A115" s="81">
        <v>42033</v>
      </c>
      <c r="B115" s="36">
        <v>0.36458333333333331</v>
      </c>
      <c r="C115" s="8">
        <v>807288</v>
      </c>
      <c r="E115" s="81"/>
      <c r="F115" s="6"/>
      <c r="G115" s="6"/>
      <c r="H115" s="6"/>
      <c r="I115" s="35"/>
      <c r="J115" s="6"/>
    </row>
    <row r="116" spans="1:10">
      <c r="A116" s="81">
        <v>42031</v>
      </c>
      <c r="B116" s="36">
        <v>0.44930555555555557</v>
      </c>
      <c r="C116" s="8">
        <v>807086</v>
      </c>
      <c r="E116" s="81"/>
      <c r="F116" s="6"/>
      <c r="G116" s="6"/>
      <c r="H116" s="6"/>
      <c r="I116" s="35"/>
      <c r="J116" s="6"/>
    </row>
    <row r="117" spans="1:10">
      <c r="A117" s="81">
        <v>42022</v>
      </c>
      <c r="B117" s="36">
        <v>0.62708333333333333</v>
      </c>
      <c r="C117" s="8">
        <v>801815</v>
      </c>
      <c r="E117" s="81"/>
      <c r="F117" s="6"/>
      <c r="G117" s="6"/>
      <c r="H117" s="6"/>
      <c r="I117" s="35"/>
      <c r="J117" s="6"/>
    </row>
    <row r="118" spans="1:10">
      <c r="A118" s="81">
        <v>42005</v>
      </c>
      <c r="B118" s="36">
        <v>0.34722222222222227</v>
      </c>
      <c r="C118" s="8">
        <v>787790</v>
      </c>
      <c r="E118" s="81"/>
      <c r="F118" s="6"/>
      <c r="G118" s="6"/>
      <c r="H118" s="6"/>
      <c r="I118" s="35"/>
      <c r="J118" s="6"/>
    </row>
    <row r="119" spans="1:10">
      <c r="A119" s="81"/>
      <c r="B119" s="6"/>
      <c r="C119" s="8"/>
      <c r="E119" s="81">
        <v>42005</v>
      </c>
      <c r="F119" s="36">
        <v>0</v>
      </c>
      <c r="G119" s="12">
        <f>C120+(C118-C120)*I119/(H119+I119)</f>
        <v>787661.16639477981</v>
      </c>
      <c r="H119" s="25">
        <f>6+8*60</f>
        <v>486</v>
      </c>
      <c r="I119" s="25">
        <f>8*90+20</f>
        <v>740</v>
      </c>
      <c r="J119" s="6"/>
    </row>
    <row r="120" spans="1:10">
      <c r="A120" s="81">
        <v>42004</v>
      </c>
      <c r="B120" s="36">
        <v>0.66249999999999998</v>
      </c>
      <c r="C120" s="8">
        <v>787465</v>
      </c>
      <c r="E120" s="81"/>
      <c r="F120" s="6"/>
      <c r="G120" s="6"/>
      <c r="H120" s="6"/>
      <c r="I120" s="35"/>
      <c r="J120" s="6"/>
    </row>
    <row r="121" spans="1:10">
      <c r="A121" s="81">
        <v>41997</v>
      </c>
      <c r="B121" s="36">
        <v>0.73402777777777783</v>
      </c>
      <c r="C121" s="8">
        <v>782446</v>
      </c>
      <c r="E121" s="81"/>
      <c r="F121" s="6"/>
      <c r="G121" s="6"/>
      <c r="H121" s="6"/>
      <c r="I121" s="35"/>
      <c r="J121" s="6"/>
    </row>
    <row r="122" spans="1:10">
      <c r="A122" s="81">
        <v>38323</v>
      </c>
      <c r="B122" s="36">
        <v>0.81944444444444453</v>
      </c>
      <c r="C122" s="8">
        <v>769504</v>
      </c>
      <c r="E122" s="81"/>
      <c r="F122" s="6"/>
      <c r="G122" s="6"/>
      <c r="H122" s="6"/>
      <c r="I122" s="35"/>
      <c r="J122" s="6"/>
    </row>
    <row r="123" spans="1:10">
      <c r="A123" s="81"/>
      <c r="B123" s="6"/>
      <c r="C123" s="8"/>
      <c r="E123" s="81">
        <v>41974</v>
      </c>
      <c r="F123" s="36">
        <v>0</v>
      </c>
      <c r="G123" s="12">
        <f>C124+(C122-C124)*I123/(H123+I123)</f>
        <v>768650.17816091958</v>
      </c>
      <c r="H123" s="25">
        <f>20+14*60</f>
        <v>860</v>
      </c>
      <c r="I123" s="25">
        <f>19*60+40+1440</f>
        <v>2620</v>
      </c>
      <c r="J123" s="6"/>
    </row>
    <row r="124" spans="1:10">
      <c r="A124" s="81">
        <v>41973</v>
      </c>
      <c r="B124" s="36">
        <v>0.40277777777777773</v>
      </c>
      <c r="C124" s="8">
        <v>766049</v>
      </c>
      <c r="E124" s="81"/>
      <c r="F124" s="6"/>
      <c r="G124" s="6"/>
      <c r="H124" s="6"/>
      <c r="I124" s="35"/>
      <c r="J124" s="6"/>
    </row>
    <row r="125" spans="1:10">
      <c r="A125" s="81">
        <v>41968</v>
      </c>
      <c r="B125" s="36">
        <v>0.95833333333333337</v>
      </c>
      <c r="C125" s="8">
        <v>764237</v>
      </c>
      <c r="E125" s="81"/>
      <c r="F125" s="6"/>
      <c r="G125" s="6"/>
      <c r="H125" s="6"/>
      <c r="I125" s="35"/>
      <c r="J125" s="6"/>
    </row>
    <row r="126" spans="1:10">
      <c r="A126" s="81">
        <v>41946</v>
      </c>
      <c r="B126" s="36">
        <v>0.2986111111111111</v>
      </c>
      <c r="C126" s="8">
        <v>749218</v>
      </c>
      <c r="E126" s="81"/>
      <c r="F126" s="6"/>
      <c r="G126" s="6"/>
      <c r="H126" s="6"/>
      <c r="I126" s="35"/>
      <c r="J126" s="6"/>
    </row>
    <row r="127" spans="1:10">
      <c r="A127" s="81"/>
      <c r="B127" s="6"/>
      <c r="C127" s="8"/>
      <c r="E127" s="81">
        <v>41944</v>
      </c>
      <c r="F127" s="36">
        <v>0</v>
      </c>
      <c r="G127" s="12">
        <f>C128+(C126-C128)*I127/(H127+I127)</f>
        <v>748222.47724477248</v>
      </c>
      <c r="H127" s="25">
        <f>35+12*60</f>
        <v>755</v>
      </c>
      <c r="I127" s="25">
        <f>1440*2+7*60+10</f>
        <v>3310</v>
      </c>
      <c r="J127" s="6"/>
    </row>
    <row r="128" spans="1:10">
      <c r="A128" s="81">
        <v>41943</v>
      </c>
      <c r="B128" s="36">
        <v>0.47569444444444442</v>
      </c>
      <c r="C128" s="8">
        <v>743858</v>
      </c>
      <c r="E128" s="81"/>
      <c r="F128" s="6"/>
      <c r="G128" s="6"/>
      <c r="H128" s="6"/>
      <c r="I128" s="35"/>
      <c r="J128" s="6"/>
    </row>
    <row r="129" spans="1:10">
      <c r="A129" s="81">
        <v>41942</v>
      </c>
      <c r="B129" s="36">
        <v>0.85902777777777783</v>
      </c>
      <c r="C129" s="8">
        <v>743783</v>
      </c>
      <c r="E129" s="81"/>
      <c r="F129" s="6"/>
      <c r="G129" s="6"/>
      <c r="H129" s="6"/>
      <c r="I129" s="35"/>
      <c r="J129" s="6"/>
    </row>
    <row r="130" spans="1:10">
      <c r="A130" s="81">
        <v>41936</v>
      </c>
      <c r="B130" s="36">
        <v>0.74652777777777779</v>
      </c>
      <c r="C130" s="8">
        <v>740631</v>
      </c>
      <c r="E130" s="81"/>
      <c r="F130" s="6"/>
      <c r="G130" s="6"/>
      <c r="H130" s="6"/>
      <c r="I130" s="35"/>
      <c r="J130" s="6"/>
    </row>
    <row r="131" spans="1:10">
      <c r="A131" s="81">
        <v>41913</v>
      </c>
      <c r="B131" s="36">
        <v>0.36944444444444446</v>
      </c>
      <c r="C131" s="8">
        <v>727239</v>
      </c>
      <c r="E131" s="81"/>
      <c r="F131" s="6"/>
      <c r="G131" s="6"/>
      <c r="H131" s="6"/>
      <c r="I131" s="35"/>
      <c r="J131" s="6"/>
    </row>
    <row r="132" spans="1:10">
      <c r="A132" s="81"/>
      <c r="B132" s="6"/>
      <c r="C132" s="8"/>
      <c r="E132" s="81">
        <v>41913</v>
      </c>
      <c r="F132" s="36">
        <v>0</v>
      </c>
      <c r="G132" s="12">
        <f>C133+(C131-C133)*I132/(H132+I132)</f>
        <v>727002.5060639471</v>
      </c>
      <c r="H132" s="25">
        <f>15+6*60</f>
        <v>375</v>
      </c>
      <c r="I132" s="25">
        <f>8*60+52</f>
        <v>532</v>
      </c>
      <c r="J132" s="6"/>
    </row>
    <row r="133" spans="1:10">
      <c r="A133" s="81">
        <v>41912</v>
      </c>
      <c r="B133" s="36">
        <v>0.73958333333333337</v>
      </c>
      <c r="C133" s="8">
        <v>726667</v>
      </c>
      <c r="E133" s="81"/>
      <c r="F133" s="6"/>
      <c r="G133" s="6"/>
      <c r="H133" s="6"/>
      <c r="I133" s="35"/>
      <c r="J133" s="6"/>
    </row>
    <row r="134" spans="1:10">
      <c r="A134" s="81">
        <v>41912</v>
      </c>
      <c r="B134" s="36">
        <v>0.34722222222222227</v>
      </c>
      <c r="C134" s="8">
        <v>726510</v>
      </c>
      <c r="E134" s="81"/>
      <c r="F134" s="6"/>
      <c r="G134" s="6"/>
      <c r="H134" s="6"/>
      <c r="I134" s="35"/>
      <c r="J134" s="6"/>
    </row>
    <row r="135" spans="1:10">
      <c r="A135" s="81">
        <v>41906</v>
      </c>
      <c r="B135" s="36">
        <v>0.65277777777777779</v>
      </c>
      <c r="C135" s="8">
        <v>724355</v>
      </c>
      <c r="E135" s="81"/>
      <c r="F135" s="6"/>
      <c r="G135" s="6"/>
      <c r="H135" s="6"/>
      <c r="I135" s="35"/>
      <c r="J135" s="6"/>
    </row>
    <row r="136" spans="1:10">
      <c r="A136" s="81">
        <v>41883</v>
      </c>
      <c r="B136" s="36">
        <v>0.29652777777777778</v>
      </c>
      <c r="C136" s="8">
        <v>716203</v>
      </c>
      <c r="E136" s="81"/>
      <c r="F136" s="6"/>
      <c r="G136" s="6"/>
      <c r="H136" s="6"/>
      <c r="I136" s="35"/>
      <c r="J136" s="6"/>
    </row>
    <row r="137" spans="1:10">
      <c r="A137" s="81"/>
      <c r="B137" s="6"/>
      <c r="C137" s="8"/>
      <c r="E137" s="81">
        <v>41883</v>
      </c>
      <c r="F137" s="36">
        <v>0</v>
      </c>
      <c r="G137" s="12">
        <f>C138+(C136-C138)*I137/(H137+I137)</f>
        <v>716173.47181628388</v>
      </c>
      <c r="H137" s="25">
        <v>52</v>
      </c>
      <c r="I137" s="25">
        <f>7*60+7</f>
        <v>427</v>
      </c>
      <c r="J137" s="6"/>
    </row>
    <row r="138" spans="1:10">
      <c r="A138" s="81">
        <v>41882</v>
      </c>
      <c r="B138" s="36">
        <v>0.96388888888888891</v>
      </c>
      <c r="C138" s="8">
        <v>715931</v>
      </c>
      <c r="E138" s="81"/>
      <c r="F138" s="6"/>
      <c r="G138" s="6"/>
      <c r="H138" s="6"/>
      <c r="I138" s="35"/>
      <c r="J138" s="6"/>
    </row>
    <row r="139" spans="1:10">
      <c r="A139" s="81">
        <v>41875</v>
      </c>
      <c r="B139" s="36">
        <v>0.44097222222222227</v>
      </c>
      <c r="C139" s="8">
        <v>713888</v>
      </c>
      <c r="E139" s="81"/>
      <c r="F139" s="6"/>
      <c r="G139" s="6"/>
      <c r="H139" s="6"/>
      <c r="I139" s="35"/>
      <c r="J139" s="6"/>
    </row>
    <row r="140" spans="1:10">
      <c r="A140" s="81">
        <v>41869</v>
      </c>
      <c r="B140" s="36">
        <v>0.69374999999999998</v>
      </c>
      <c r="C140" s="8">
        <v>712279</v>
      </c>
      <c r="E140" s="81"/>
      <c r="F140" s="6"/>
      <c r="G140" s="6"/>
      <c r="H140" s="6"/>
      <c r="I140" s="35"/>
      <c r="J140" s="6"/>
    </row>
    <row r="141" spans="1:10">
      <c r="A141" s="81">
        <v>41852</v>
      </c>
      <c r="B141" s="36">
        <v>0.39097222222222222</v>
      </c>
      <c r="C141" s="8">
        <v>708708</v>
      </c>
      <c r="E141" s="81"/>
      <c r="F141" s="6"/>
      <c r="G141" s="6"/>
      <c r="H141" s="6"/>
      <c r="I141" s="35"/>
      <c r="J141" s="6"/>
    </row>
    <row r="142" spans="1:10">
      <c r="A142" s="81"/>
      <c r="B142" s="6"/>
      <c r="C142" s="8"/>
      <c r="E142" s="81">
        <v>41852</v>
      </c>
      <c r="F142" s="36">
        <v>0</v>
      </c>
      <c r="G142" s="12">
        <f>C143+(C141-C143)*I142/(H142+I142)</f>
        <v>708681.08140703512</v>
      </c>
      <c r="H142" s="25">
        <f>12+7*60</f>
        <v>432</v>
      </c>
      <c r="I142" s="25">
        <f>9*60+23</f>
        <v>563</v>
      </c>
      <c r="J142" s="6"/>
    </row>
    <row r="143" spans="1:10">
      <c r="A143" s="81">
        <v>41851</v>
      </c>
      <c r="B143" s="36">
        <v>0.70000000000000007</v>
      </c>
      <c r="C143" s="8">
        <v>708646</v>
      </c>
      <c r="E143" s="81"/>
      <c r="F143" s="6"/>
      <c r="G143" s="6"/>
      <c r="H143" s="6"/>
      <c r="I143" s="35"/>
      <c r="J143" s="6"/>
    </row>
    <row r="144" spans="1:10">
      <c r="A144" s="81">
        <v>41835</v>
      </c>
      <c r="B144" s="36">
        <v>0.63194444444444442</v>
      </c>
      <c r="C144" s="8">
        <v>702905</v>
      </c>
      <c r="E144" s="81"/>
      <c r="F144" s="6"/>
      <c r="G144" s="6"/>
      <c r="H144" s="6"/>
      <c r="I144" s="35"/>
      <c r="J144" s="6"/>
    </row>
    <row r="145" spans="1:10">
      <c r="A145" s="81">
        <v>41821</v>
      </c>
      <c r="B145" s="36">
        <v>0.3298611111111111</v>
      </c>
      <c r="C145" s="8">
        <v>693283</v>
      </c>
      <c r="E145" s="81"/>
      <c r="F145" s="6"/>
      <c r="G145" s="6"/>
      <c r="H145" s="6"/>
      <c r="I145" s="35"/>
      <c r="J145" s="6"/>
    </row>
    <row r="146" spans="1:10">
      <c r="A146" s="81"/>
      <c r="B146" s="6"/>
      <c r="C146" s="8"/>
      <c r="E146" s="81">
        <v>41821</v>
      </c>
      <c r="F146" s="36">
        <v>0</v>
      </c>
      <c r="G146" s="12">
        <f>C147+(C145-C147)*I146/(H146+I146)</f>
        <v>692955.765625</v>
      </c>
      <c r="H146" s="25">
        <f>15*50-9</f>
        <v>741</v>
      </c>
      <c r="I146" s="25">
        <f>7*60+55</f>
        <v>475</v>
      </c>
      <c r="J146" s="6"/>
    </row>
    <row r="147" spans="1:10">
      <c r="A147" s="81">
        <v>41820</v>
      </c>
      <c r="B147" s="36">
        <v>0.38125000000000003</v>
      </c>
      <c r="C147" s="8">
        <v>692746</v>
      </c>
      <c r="E147" s="81"/>
      <c r="F147" s="6"/>
      <c r="G147" s="6"/>
      <c r="H147" s="6"/>
      <c r="I147" s="35"/>
      <c r="J147" s="6"/>
    </row>
    <row r="148" spans="1:10">
      <c r="A148" s="81">
        <v>41814</v>
      </c>
      <c r="B148" s="36">
        <v>0.67152777777777783</v>
      </c>
      <c r="C148" s="8">
        <v>690266</v>
      </c>
      <c r="E148" s="81"/>
      <c r="F148" s="6"/>
      <c r="G148" s="6"/>
      <c r="H148" s="6"/>
      <c r="I148" s="35"/>
      <c r="J148" s="6"/>
    </row>
    <row r="149" spans="1:10">
      <c r="A149" s="81">
        <v>41791</v>
      </c>
      <c r="B149" s="36">
        <v>0.26874999999999999</v>
      </c>
      <c r="C149" s="8">
        <v>683231</v>
      </c>
      <c r="E149" s="81"/>
      <c r="F149" s="6"/>
      <c r="G149" s="6"/>
      <c r="H149" s="6"/>
      <c r="I149" s="35"/>
      <c r="J149" s="6"/>
    </row>
    <row r="150" spans="1:10">
      <c r="A150" s="81"/>
      <c r="B150" s="6"/>
      <c r="C150" s="8"/>
      <c r="E150" s="81">
        <v>41791</v>
      </c>
      <c r="F150" s="36">
        <v>0</v>
      </c>
      <c r="G150" s="12">
        <f>C151+(C149-C151)*I150/(H150+I150)</f>
        <v>682327.6782729805</v>
      </c>
      <c r="H150" s="25">
        <f>1440+17*60+25</f>
        <v>2485</v>
      </c>
      <c r="I150" s="25">
        <f>6*60+27</f>
        <v>387</v>
      </c>
      <c r="J150" s="6"/>
    </row>
    <row r="151" spans="1:10">
      <c r="A151" s="81">
        <v>41789</v>
      </c>
      <c r="B151" s="36">
        <v>0.27430555555555552</v>
      </c>
      <c r="C151" s="8">
        <v>682187</v>
      </c>
      <c r="E151" s="81"/>
      <c r="F151" s="6"/>
      <c r="G151" s="6"/>
      <c r="H151" s="6"/>
      <c r="I151" s="35"/>
      <c r="J151" s="6"/>
    </row>
    <row r="152" spans="1:10">
      <c r="A152" s="81">
        <v>41779</v>
      </c>
      <c r="B152" s="36">
        <v>0.84027777777777779</v>
      </c>
      <c r="C152" s="8">
        <v>677792</v>
      </c>
      <c r="E152" s="81"/>
      <c r="F152" s="6"/>
      <c r="G152" s="6"/>
      <c r="H152" s="6"/>
      <c r="I152" s="35"/>
      <c r="J152" s="6"/>
    </row>
    <row r="153" spans="1:10">
      <c r="A153" s="81">
        <v>41760</v>
      </c>
      <c r="B153" s="36">
        <v>0.29166666666666669</v>
      </c>
      <c r="C153" s="8">
        <v>667695</v>
      </c>
      <c r="E153" s="81"/>
      <c r="F153" s="6"/>
      <c r="G153" s="6"/>
      <c r="H153" s="6"/>
      <c r="I153" s="35"/>
      <c r="J153" s="6"/>
    </row>
    <row r="154" spans="1:10">
      <c r="A154" s="81"/>
      <c r="B154" s="6"/>
      <c r="C154" s="8"/>
      <c r="E154" s="81">
        <v>41760</v>
      </c>
      <c r="F154" s="36">
        <v>0</v>
      </c>
      <c r="G154" s="12">
        <f>C155+(C153-C155)*I154/(H154+I154)</f>
        <v>667032.70833333337</v>
      </c>
      <c r="H154" s="25">
        <f>17*60</f>
        <v>1020</v>
      </c>
      <c r="I154" s="25">
        <f>7*60</f>
        <v>420</v>
      </c>
      <c r="J154" s="6"/>
    </row>
    <row r="155" spans="1:10">
      <c r="A155" s="81">
        <v>41759</v>
      </c>
      <c r="B155" s="36">
        <v>0.29166666666666669</v>
      </c>
      <c r="C155" s="8">
        <v>666760</v>
      </c>
      <c r="E155" s="81"/>
      <c r="F155" s="6"/>
      <c r="G155" s="6"/>
      <c r="H155" s="6"/>
      <c r="I155" s="35"/>
      <c r="J155" s="6"/>
    </row>
    <row r="156" spans="1:10">
      <c r="A156" s="81">
        <v>41756</v>
      </c>
      <c r="B156" s="36">
        <v>0.44166666666666665</v>
      </c>
      <c r="C156" s="8">
        <v>663957</v>
      </c>
      <c r="E156" s="81"/>
      <c r="F156" s="6"/>
      <c r="G156" s="6"/>
      <c r="H156" s="6"/>
      <c r="I156" s="35"/>
      <c r="J156" s="6"/>
    </row>
    <row r="157" spans="1:10">
      <c r="A157" s="81">
        <v>41739</v>
      </c>
      <c r="B157" s="36">
        <v>0.31944444444444448</v>
      </c>
      <c r="C157" s="8">
        <v>650439</v>
      </c>
      <c r="E157" s="81"/>
      <c r="F157" s="6"/>
      <c r="G157" s="6"/>
      <c r="H157" s="6"/>
      <c r="I157" s="35"/>
      <c r="J157" s="6"/>
    </row>
    <row r="158" spans="1:10">
      <c r="A158" s="81">
        <v>41730</v>
      </c>
      <c r="B158" s="36">
        <v>0.29166666666666669</v>
      </c>
      <c r="C158" s="8">
        <v>645596</v>
      </c>
      <c r="E158" s="81"/>
      <c r="F158" s="6"/>
      <c r="G158" s="6"/>
      <c r="H158" s="6"/>
      <c r="I158" s="35"/>
      <c r="J158" s="6"/>
    </row>
    <row r="159" spans="1:10">
      <c r="A159" s="81"/>
      <c r="B159" s="6"/>
      <c r="C159" s="8"/>
      <c r="E159" s="81">
        <v>41730</v>
      </c>
      <c r="F159" s="36">
        <v>0</v>
      </c>
      <c r="G159" s="12">
        <f>C160+(C158-C160)*I159/(H159+I159)</f>
        <v>645186.71428571432</v>
      </c>
      <c r="H159" s="25">
        <f>5*60+15</f>
        <v>315</v>
      </c>
      <c r="I159" s="25">
        <f>7*60</f>
        <v>420</v>
      </c>
      <c r="J159" s="6"/>
    </row>
    <row r="160" spans="1:10">
      <c r="A160" s="81">
        <v>41729</v>
      </c>
      <c r="B160" s="36">
        <v>0.78125</v>
      </c>
      <c r="C160" s="8">
        <v>644641</v>
      </c>
      <c r="E160" s="81"/>
      <c r="F160" s="6"/>
      <c r="G160" s="6"/>
      <c r="H160" s="6"/>
      <c r="I160" s="35"/>
      <c r="J160" s="6"/>
    </row>
    <row r="161" spans="1:13">
      <c r="A161" s="81">
        <v>41729</v>
      </c>
      <c r="B161" s="36">
        <v>0.28611111111111115</v>
      </c>
      <c r="C161" s="8">
        <v>643741</v>
      </c>
      <c r="E161" s="81"/>
      <c r="F161" s="6"/>
      <c r="G161" s="6"/>
      <c r="H161" s="6"/>
      <c r="I161" s="35"/>
      <c r="J161" s="6"/>
    </row>
    <row r="162" spans="1:13">
      <c r="A162" s="81">
        <v>41725</v>
      </c>
      <c r="B162" s="36">
        <v>0.38194444444444442</v>
      </c>
      <c r="C162" s="8">
        <v>639907</v>
      </c>
      <c r="E162" s="81"/>
      <c r="F162" s="6"/>
      <c r="G162" s="6"/>
      <c r="H162" s="6"/>
      <c r="I162" s="35"/>
      <c r="J162" s="6"/>
    </row>
    <row r="163" spans="1:13">
      <c r="A163" s="81">
        <v>41718</v>
      </c>
      <c r="B163" s="36">
        <v>0.60069444444444442</v>
      </c>
      <c r="C163" s="8">
        <v>636645</v>
      </c>
      <c r="E163" s="81"/>
      <c r="F163" s="6"/>
      <c r="G163" s="6"/>
      <c r="H163" s="6"/>
      <c r="I163" s="35"/>
      <c r="J163" s="6"/>
    </row>
    <row r="164" spans="1:13">
      <c r="A164" s="81">
        <v>41704</v>
      </c>
      <c r="B164" s="36">
        <v>0.74097222222222225</v>
      </c>
      <c r="C164" s="8">
        <v>627755</v>
      </c>
      <c r="E164" s="81"/>
      <c r="F164" s="6"/>
      <c r="G164" s="6"/>
      <c r="H164" s="6"/>
      <c r="I164" s="35"/>
      <c r="J164" s="6"/>
    </row>
    <row r="165" spans="1:13">
      <c r="A165" s="81"/>
      <c r="B165" s="36"/>
      <c r="C165" s="8"/>
      <c r="E165" s="81">
        <v>41699</v>
      </c>
      <c r="F165" s="36">
        <v>0</v>
      </c>
      <c r="G165" s="12">
        <f>C166+(C164-C166)*I165/(H165+I165)</f>
        <v>623375.27128995711</v>
      </c>
      <c r="H165" s="25">
        <f>7*1440+8*60+36</f>
        <v>10596</v>
      </c>
      <c r="I165" s="25">
        <f>6*1440+17*60+47</f>
        <v>9707</v>
      </c>
      <c r="J165" s="6"/>
    </row>
    <row r="166" spans="1:13">
      <c r="A166" s="81">
        <v>41690</v>
      </c>
      <c r="B166" s="36">
        <v>0.64166666666666672</v>
      </c>
      <c r="C166" s="8">
        <v>619363</v>
      </c>
      <c r="E166" s="81"/>
      <c r="F166" s="6"/>
      <c r="G166" s="6"/>
      <c r="H166" s="6"/>
      <c r="I166" s="35"/>
      <c r="J166" s="6"/>
    </row>
    <row r="167" spans="1:13">
      <c r="A167" s="81">
        <v>41672</v>
      </c>
      <c r="B167" s="36">
        <v>0.40972222222222227</v>
      </c>
      <c r="C167" s="8">
        <v>607968</v>
      </c>
      <c r="E167" s="81"/>
      <c r="F167" s="6"/>
      <c r="G167" s="6"/>
      <c r="H167" s="6"/>
      <c r="I167" s="35"/>
      <c r="J167" s="6"/>
    </row>
    <row r="168" spans="1:13">
      <c r="A168" s="81"/>
      <c r="B168" s="6"/>
      <c r="C168" s="8"/>
      <c r="E168" s="81">
        <v>41671</v>
      </c>
      <c r="F168" s="36">
        <v>0</v>
      </c>
      <c r="G168" s="12">
        <f>C169+(C167-C169)*I168/(H168+I168)</f>
        <v>607803.43644067796</v>
      </c>
      <c r="H168" s="25">
        <f>14*60+12</f>
        <v>852</v>
      </c>
      <c r="I168" s="25">
        <f>1440+9*60</f>
        <v>1980</v>
      </c>
      <c r="J168" s="6"/>
    </row>
    <row r="169" spans="1:13">
      <c r="A169" s="81">
        <v>41670</v>
      </c>
      <c r="B169" s="36">
        <v>0.40833333333333338</v>
      </c>
      <c r="C169" s="8">
        <v>607421</v>
      </c>
      <c r="E169" s="81"/>
      <c r="F169" s="6"/>
      <c r="G169" s="6"/>
      <c r="H169" s="6"/>
      <c r="I169" s="35"/>
      <c r="J169" s="6"/>
    </row>
    <row r="170" spans="1:13">
      <c r="A170" s="81">
        <v>41640</v>
      </c>
      <c r="B170" s="36">
        <v>0.34236111111111112</v>
      </c>
      <c r="C170" s="8">
        <v>595682</v>
      </c>
      <c r="E170" s="81"/>
      <c r="F170" s="6"/>
      <c r="G170" s="6"/>
      <c r="H170" s="6"/>
      <c r="I170" s="35"/>
      <c r="J170" s="6"/>
    </row>
    <row r="171" spans="1:13">
      <c r="A171" s="81"/>
      <c r="B171" s="6"/>
      <c r="C171" s="8"/>
      <c r="E171" s="81">
        <v>41640</v>
      </c>
      <c r="F171" s="36">
        <v>0</v>
      </c>
      <c r="G171" s="74">
        <f>C172</f>
        <v>595695</v>
      </c>
      <c r="H171" s="25">
        <f>16*60+25</f>
        <v>985</v>
      </c>
      <c r="I171" s="25">
        <f>8*60+13</f>
        <v>493</v>
      </c>
      <c r="J171" s="6"/>
    </row>
    <row r="172" spans="1:13">
      <c r="A172" s="81">
        <v>41639</v>
      </c>
      <c r="B172" s="36">
        <v>0.31597222222222221</v>
      </c>
      <c r="C172" s="8">
        <v>595695</v>
      </c>
      <c r="E172" s="81"/>
      <c r="F172" s="6"/>
      <c r="G172" s="6"/>
      <c r="H172" s="6"/>
      <c r="I172" s="35"/>
      <c r="J172" s="6"/>
    </row>
    <row r="173" spans="1:13">
      <c r="A173" s="81">
        <v>41609</v>
      </c>
      <c r="B173" s="36">
        <v>0.59027777777777779</v>
      </c>
      <c r="C173" s="8">
        <v>596051</v>
      </c>
      <c r="E173" s="81"/>
      <c r="F173" s="6"/>
      <c r="G173" s="6"/>
      <c r="H173" s="6"/>
      <c r="I173" s="35"/>
      <c r="J173" s="6"/>
    </row>
    <row r="174" spans="1:13">
      <c r="A174" s="81"/>
      <c r="B174" s="6"/>
      <c r="C174" s="6"/>
      <c r="E174" s="81">
        <v>41609</v>
      </c>
      <c r="F174" s="36">
        <v>0</v>
      </c>
      <c r="G174" s="12">
        <f>C175+(C173-C175)*I174/(H174+I174)</f>
        <v>596067.81183932349</v>
      </c>
      <c r="H174" s="25">
        <f>1440+8+9*60</f>
        <v>1988</v>
      </c>
      <c r="I174" s="25">
        <f>14*60+10</f>
        <v>850</v>
      </c>
      <c r="J174" s="6"/>
      <c r="L174">
        <v>596068</v>
      </c>
      <c r="M174" t="s">
        <v>51</v>
      </c>
    </row>
    <row r="175" spans="1:13">
      <c r="A175" s="81">
        <v>41607</v>
      </c>
      <c r="B175" s="3">
        <v>0.61944444444444446</v>
      </c>
      <c r="C175" s="8">
        <v>596075</v>
      </c>
      <c r="E175" s="81"/>
      <c r="F175" s="6"/>
      <c r="G175" s="6"/>
      <c r="H175" s="6"/>
      <c r="I175" s="35"/>
      <c r="J175" s="6"/>
      <c r="L175">
        <v>0.15</v>
      </c>
    </row>
    <row r="176" spans="1:13">
      <c r="A176" s="81">
        <v>41600</v>
      </c>
      <c r="B176" s="3">
        <v>0.4375</v>
      </c>
      <c r="C176" s="8">
        <v>596155</v>
      </c>
      <c r="E176" s="81"/>
      <c r="F176" s="6"/>
      <c r="G176" s="6"/>
      <c r="H176" s="6"/>
      <c r="I176" s="35"/>
      <c r="J176" s="6"/>
      <c r="L176" s="73">
        <f>L175*L174</f>
        <v>89410.2</v>
      </c>
    </row>
    <row r="177" spans="1:12">
      <c r="A177" s="81">
        <v>41586</v>
      </c>
      <c r="B177" s="3">
        <v>0.96736111111111101</v>
      </c>
      <c r="C177" s="8">
        <v>596273</v>
      </c>
      <c r="E177" s="81"/>
      <c r="F177" s="6"/>
      <c r="G177" s="6"/>
      <c r="H177" s="6"/>
      <c r="I177" s="35"/>
      <c r="J177" s="6"/>
      <c r="L177" s="73">
        <f>'Output Summary'!P19</f>
        <v>31773</v>
      </c>
    </row>
    <row r="178" spans="1:12">
      <c r="A178" s="81">
        <v>41579</v>
      </c>
      <c r="B178" s="3">
        <v>0.27986111111111112</v>
      </c>
      <c r="C178" s="8">
        <v>590440</v>
      </c>
      <c r="E178" s="81"/>
      <c r="F178" s="6"/>
      <c r="G178" s="6"/>
      <c r="H178" s="6"/>
      <c r="I178" s="35"/>
      <c r="J178" s="6"/>
      <c r="L178" s="73">
        <f>L177+L176</f>
        <v>121183.2</v>
      </c>
    </row>
    <row r="179" spans="1:12">
      <c r="A179" s="81"/>
      <c r="B179" s="3"/>
      <c r="C179" s="8"/>
      <c r="E179" s="81">
        <v>41579</v>
      </c>
      <c r="F179" s="36">
        <v>0</v>
      </c>
      <c r="G179" s="12">
        <f>C180+(C178-C180)*I179/(H179+I179)</f>
        <v>589993.48842874542</v>
      </c>
      <c r="H179" s="25">
        <f>58+60*6</f>
        <v>418</v>
      </c>
      <c r="I179" s="25">
        <f>6*60+43</f>
        <v>403</v>
      </c>
      <c r="J179" s="6"/>
    </row>
    <row r="180" spans="1:12">
      <c r="A180" s="81">
        <v>41578</v>
      </c>
      <c r="B180" s="3">
        <v>0.70972222222222225</v>
      </c>
      <c r="C180" s="8">
        <v>589563</v>
      </c>
      <c r="E180" s="81"/>
      <c r="F180" s="6"/>
      <c r="G180" s="6"/>
      <c r="H180" s="6"/>
      <c r="I180" s="35"/>
      <c r="J180" s="6"/>
    </row>
    <row r="181" spans="1:12">
      <c r="A181" s="81">
        <v>41575</v>
      </c>
      <c r="B181" s="3">
        <v>0.97916666666666663</v>
      </c>
      <c r="C181" s="8">
        <v>589125</v>
      </c>
      <c r="E181" s="81"/>
      <c r="F181" s="6"/>
      <c r="G181" s="6"/>
      <c r="H181" s="6"/>
      <c r="I181" s="35"/>
      <c r="J181" s="6"/>
    </row>
    <row r="182" spans="1:12">
      <c r="A182" s="81">
        <v>41563</v>
      </c>
      <c r="B182" s="3">
        <v>0.33194444444444443</v>
      </c>
      <c r="C182" s="8">
        <v>583889</v>
      </c>
      <c r="E182" s="81"/>
      <c r="F182" s="6"/>
      <c r="G182" s="6"/>
      <c r="H182" s="6"/>
      <c r="I182" s="35"/>
      <c r="J182" s="6"/>
    </row>
    <row r="183" spans="1:12">
      <c r="A183" s="81">
        <v>41548</v>
      </c>
      <c r="B183" s="3">
        <v>0.31319444444444444</v>
      </c>
      <c r="C183" s="8">
        <v>576520</v>
      </c>
      <c r="E183" s="81"/>
      <c r="F183" s="6"/>
      <c r="G183" s="6"/>
      <c r="H183" s="6"/>
      <c r="I183" s="35"/>
      <c r="J183" s="6"/>
    </row>
    <row r="184" spans="1:12">
      <c r="A184" s="82"/>
      <c r="E184" s="81">
        <v>41518</v>
      </c>
      <c r="F184" s="36">
        <v>0</v>
      </c>
      <c r="G184" s="12">
        <f>C185+(C183-C185)*I184/(H184+I184)</f>
        <v>576469.58904109593</v>
      </c>
      <c r="H184" s="25">
        <f>5*60+52</f>
        <v>352</v>
      </c>
      <c r="I184" s="25">
        <f>7*60+31</f>
        <v>451</v>
      </c>
      <c r="J184" s="6"/>
    </row>
    <row r="185" spans="1:12">
      <c r="A185" s="81">
        <v>41547</v>
      </c>
      <c r="B185" s="3">
        <v>0.75555555555555554</v>
      </c>
      <c r="C185" s="8">
        <v>576405</v>
      </c>
      <c r="E185" s="81"/>
      <c r="F185" s="6"/>
      <c r="G185" s="6"/>
      <c r="H185" s="6"/>
      <c r="I185" s="35"/>
      <c r="J185" s="6"/>
    </row>
    <row r="186" spans="1:12">
      <c r="A186" s="81">
        <v>41542</v>
      </c>
      <c r="B186" s="3">
        <v>0.36805555555555558</v>
      </c>
      <c r="C186" s="8">
        <v>574206</v>
      </c>
      <c r="E186" s="81"/>
      <c r="F186" s="6"/>
      <c r="G186" s="6"/>
      <c r="H186" s="6"/>
      <c r="I186" s="35"/>
      <c r="J186" s="6"/>
    </row>
    <row r="187" spans="1:12">
      <c r="A187" s="81">
        <v>41525</v>
      </c>
      <c r="B187" s="3">
        <v>0.84305555555555556</v>
      </c>
      <c r="C187" s="8">
        <v>567131</v>
      </c>
      <c r="E187" s="81"/>
      <c r="F187" s="6"/>
      <c r="G187" s="6"/>
      <c r="H187" s="6"/>
      <c r="I187" s="35"/>
      <c r="J187" s="6"/>
    </row>
    <row r="188" spans="1:12">
      <c r="A188" s="81">
        <v>41518</v>
      </c>
      <c r="B188" s="3">
        <v>0.2986111111111111</v>
      </c>
      <c r="C188" s="8">
        <v>563962</v>
      </c>
      <c r="E188" s="81"/>
      <c r="F188" s="6"/>
      <c r="G188" s="6"/>
      <c r="H188" s="6"/>
      <c r="I188" s="35"/>
      <c r="J188" s="6"/>
    </row>
    <row r="189" spans="1:12">
      <c r="A189" s="81"/>
      <c r="B189" s="3"/>
      <c r="C189" s="8"/>
      <c r="E189" s="81">
        <v>41518</v>
      </c>
      <c r="F189" s="36">
        <v>0</v>
      </c>
      <c r="G189" s="12">
        <f>C190+(C188-C190)*I189/(H189+I189)</f>
        <v>563895.69899665553</v>
      </c>
      <c r="H189" s="25">
        <f>48+2*60</f>
        <v>168</v>
      </c>
      <c r="I189" s="25">
        <f>7*60+10</f>
        <v>430</v>
      </c>
      <c r="J189" s="6"/>
    </row>
    <row r="190" spans="1:12">
      <c r="A190" s="81">
        <v>41517</v>
      </c>
      <c r="B190" s="3">
        <v>0.8833333333333333</v>
      </c>
      <c r="C190" s="8">
        <v>563726</v>
      </c>
      <c r="E190" s="81"/>
      <c r="F190" s="6"/>
      <c r="G190" s="6"/>
      <c r="H190" s="6"/>
      <c r="I190" s="35"/>
      <c r="J190" s="6"/>
    </row>
    <row r="191" spans="1:12">
      <c r="A191" s="81">
        <v>41516</v>
      </c>
      <c r="B191" s="3">
        <v>0.54513888888888895</v>
      </c>
      <c r="C191" s="8">
        <v>562803</v>
      </c>
      <c r="E191" s="81"/>
      <c r="F191" s="6"/>
      <c r="G191" s="6"/>
      <c r="H191" s="6"/>
      <c r="I191" s="35"/>
      <c r="J191" s="6"/>
    </row>
    <row r="192" spans="1:12">
      <c r="A192" s="81">
        <v>41509</v>
      </c>
      <c r="B192" s="3">
        <v>0.41597222222222219</v>
      </c>
      <c r="C192" s="8">
        <v>559360</v>
      </c>
      <c r="E192" s="81"/>
      <c r="F192" s="6"/>
      <c r="G192" s="6"/>
      <c r="H192" s="6"/>
      <c r="I192" s="35"/>
      <c r="J192" s="6"/>
    </row>
    <row r="193" spans="1:10">
      <c r="A193" s="81">
        <v>41499</v>
      </c>
      <c r="B193" s="3">
        <v>0.34375</v>
      </c>
      <c r="C193" s="8">
        <v>557121</v>
      </c>
      <c r="E193" s="81"/>
      <c r="F193" s="6"/>
      <c r="G193" s="6"/>
      <c r="H193" s="6"/>
      <c r="I193" s="35"/>
      <c r="J193" s="6"/>
    </row>
    <row r="194" spans="1:10">
      <c r="A194" s="81">
        <v>41491</v>
      </c>
      <c r="B194" s="3">
        <v>0.57291666666666663</v>
      </c>
      <c r="C194" s="8">
        <v>554711</v>
      </c>
      <c r="E194" s="81"/>
      <c r="F194" s="6"/>
      <c r="G194" s="6"/>
      <c r="H194" s="6"/>
      <c r="I194" s="35"/>
      <c r="J194" s="6"/>
    </row>
    <row r="195" spans="1:10">
      <c r="A195" s="81">
        <v>41487</v>
      </c>
      <c r="B195" s="3"/>
      <c r="C195" s="8"/>
      <c r="E195" s="81">
        <v>41487</v>
      </c>
      <c r="F195" s="36">
        <v>0</v>
      </c>
      <c r="G195" s="12">
        <f>C196+(C194-C196)*I195/(H195+I195)</f>
        <v>554509.68939955521</v>
      </c>
      <c r="H195" s="25">
        <f>14*60+40</f>
        <v>880</v>
      </c>
      <c r="I195" s="25">
        <f>1440*4+1*60+45</f>
        <v>5865</v>
      </c>
      <c r="J195" s="36"/>
    </row>
    <row r="196" spans="1:10">
      <c r="A196" s="81">
        <v>41486</v>
      </c>
      <c r="B196" s="3">
        <v>0.3888888888888889</v>
      </c>
      <c r="C196" s="8">
        <v>553168</v>
      </c>
      <c r="E196" s="81"/>
      <c r="F196" s="6"/>
      <c r="G196" s="6"/>
      <c r="H196" s="6"/>
      <c r="I196" s="35"/>
      <c r="J196" s="6"/>
    </row>
    <row r="197" spans="1:10">
      <c r="A197" s="81">
        <v>41467</v>
      </c>
      <c r="B197" s="3">
        <v>0.2638888888888889</v>
      </c>
      <c r="C197" s="8">
        <v>546604</v>
      </c>
      <c r="E197" s="81"/>
      <c r="F197" s="6"/>
      <c r="G197" s="6"/>
      <c r="H197" s="6"/>
      <c r="I197" s="35"/>
      <c r="J197" s="6"/>
    </row>
    <row r="198" spans="1:10">
      <c r="A198" s="81">
        <v>41456</v>
      </c>
      <c r="B198" s="3">
        <v>0.3263888888888889</v>
      </c>
      <c r="C198" s="8">
        <v>540365</v>
      </c>
      <c r="E198" s="81"/>
      <c r="F198" s="6"/>
      <c r="G198" s="6"/>
      <c r="H198" s="6"/>
      <c r="I198" s="35"/>
      <c r="J198" s="6"/>
    </row>
    <row r="199" spans="1:10">
      <c r="A199" s="81">
        <v>41456</v>
      </c>
      <c r="B199" s="3">
        <v>0</v>
      </c>
      <c r="C199" s="8"/>
      <c r="E199" s="81">
        <v>41456</v>
      </c>
      <c r="F199" s="36">
        <v>0</v>
      </c>
      <c r="G199" s="12">
        <f>C200+(C198-C200)*I199/(H199+I199)</f>
        <v>540317.70668953692</v>
      </c>
      <c r="H199" s="25">
        <f>53+60</f>
        <v>113</v>
      </c>
      <c r="I199" s="25">
        <f>7*60+50</f>
        <v>470</v>
      </c>
      <c r="J199" s="36"/>
    </row>
    <row r="200" spans="1:10">
      <c r="A200" s="81">
        <v>41455</v>
      </c>
      <c r="B200" s="3">
        <v>0.92152777777777783</v>
      </c>
      <c r="C200" s="8">
        <v>540121</v>
      </c>
      <c r="E200" s="81"/>
      <c r="F200" s="6"/>
      <c r="G200" s="6"/>
      <c r="H200" s="6"/>
      <c r="I200" s="35"/>
      <c r="J200" s="6"/>
    </row>
    <row r="201" spans="1:10">
      <c r="A201" s="81">
        <v>41455</v>
      </c>
      <c r="B201" s="3">
        <v>0.43124999999999997</v>
      </c>
      <c r="C201" s="8">
        <v>539937</v>
      </c>
      <c r="E201" s="81"/>
      <c r="F201" s="6"/>
      <c r="G201" s="6"/>
      <c r="H201" s="6"/>
      <c r="I201" s="35"/>
      <c r="J201" s="6"/>
    </row>
    <row r="202" spans="1:10">
      <c r="A202" s="82">
        <v>41453</v>
      </c>
      <c r="B202" s="3">
        <v>0.4284722222222222</v>
      </c>
      <c r="C202" s="8">
        <v>538012</v>
      </c>
      <c r="E202" s="81"/>
      <c r="H202" s="8"/>
      <c r="I202" s="8"/>
    </row>
    <row r="203" spans="1:10">
      <c r="A203" s="82">
        <v>41446</v>
      </c>
      <c r="B203" s="3">
        <v>0.60625000000000007</v>
      </c>
      <c r="C203" s="8">
        <v>534807</v>
      </c>
      <c r="E203" s="81"/>
    </row>
    <row r="204" spans="1:10">
      <c r="A204" s="82">
        <v>41426</v>
      </c>
      <c r="B204" s="3">
        <v>0.8833333333333333</v>
      </c>
      <c r="C204" s="8">
        <v>523594</v>
      </c>
      <c r="E204" s="81"/>
      <c r="H204" s="8"/>
      <c r="I204" s="8"/>
    </row>
    <row r="205" spans="1:10">
      <c r="A205" s="82"/>
      <c r="C205" s="8"/>
      <c r="E205" s="81">
        <v>41426</v>
      </c>
      <c r="F205" s="3">
        <v>0</v>
      </c>
      <c r="G205" s="12">
        <f>C206+(C204-C206)*H205/(H205+I205)</f>
        <v>522976.70588235295</v>
      </c>
      <c r="H205" s="25">
        <f>10*60+32</f>
        <v>632</v>
      </c>
      <c r="I205" s="25">
        <f>21*60+12</f>
        <v>1272</v>
      </c>
      <c r="J205" s="3"/>
    </row>
    <row r="206" spans="1:10">
      <c r="A206" s="82">
        <v>41425</v>
      </c>
      <c r="B206" s="3">
        <v>0.56111111111111112</v>
      </c>
      <c r="C206" s="8">
        <v>522670</v>
      </c>
      <c r="E206" s="81"/>
    </row>
    <row r="207" spans="1:10">
      <c r="A207" s="82">
        <v>41422</v>
      </c>
      <c r="B207" s="3">
        <v>0.30208333333333331</v>
      </c>
      <c r="C207" s="8">
        <v>521033</v>
      </c>
      <c r="E207" s="81"/>
    </row>
    <row r="208" spans="1:10">
      <c r="A208" s="82">
        <v>41416</v>
      </c>
      <c r="B208" s="3">
        <v>0.71805555555555556</v>
      </c>
      <c r="C208" s="8">
        <v>516386</v>
      </c>
      <c r="E208" s="81"/>
    </row>
    <row r="209" spans="1:14">
      <c r="A209" s="82">
        <v>41395</v>
      </c>
      <c r="B209" s="3">
        <v>2.0833333333333333E-3</v>
      </c>
      <c r="C209" s="8">
        <v>505874</v>
      </c>
      <c r="E209" s="81"/>
    </row>
    <row r="210" spans="1:14">
      <c r="A210" s="82"/>
      <c r="E210" s="81">
        <v>41395</v>
      </c>
      <c r="F210" s="3">
        <v>0</v>
      </c>
      <c r="G210" s="12">
        <f>C211+(C209-C211)*H210/(H210+I210)</f>
        <v>505873.88372093026</v>
      </c>
      <c r="H210" s="25">
        <f>60*(24-18)+24</f>
        <v>384</v>
      </c>
      <c r="I210" s="25">
        <v>3</v>
      </c>
      <c r="J210" s="3"/>
    </row>
    <row r="211" spans="1:14">
      <c r="A211" s="82">
        <v>41394</v>
      </c>
      <c r="B211" s="3">
        <v>0.73333333333333339</v>
      </c>
      <c r="C211" s="8">
        <v>505859</v>
      </c>
      <c r="E211" s="81"/>
      <c r="H211" s="8"/>
      <c r="I211" s="8"/>
    </row>
    <row r="212" spans="1:14">
      <c r="A212" s="82">
        <v>41393</v>
      </c>
      <c r="B212" s="3">
        <v>0.74305555555555547</v>
      </c>
      <c r="C212" s="8">
        <v>505776</v>
      </c>
      <c r="E212" s="81"/>
      <c r="H212" s="8"/>
      <c r="I212" s="8"/>
    </row>
    <row r="213" spans="1:14">
      <c r="A213" s="82">
        <v>41386</v>
      </c>
      <c r="B213" s="3">
        <v>0.32291666666666669</v>
      </c>
      <c r="C213" s="8">
        <v>501257</v>
      </c>
      <c r="E213" s="81"/>
      <c r="H213" s="8"/>
      <c r="I213" s="8"/>
    </row>
    <row r="214" spans="1:14">
      <c r="A214" s="82">
        <v>41365</v>
      </c>
      <c r="B214" s="3">
        <v>0.32291666666666669</v>
      </c>
      <c r="C214" s="8">
        <v>486539</v>
      </c>
      <c r="E214" s="81"/>
      <c r="H214" s="8"/>
      <c r="I214" s="8"/>
    </row>
    <row r="215" spans="1:14">
      <c r="A215" s="82"/>
      <c r="B215" s="3"/>
      <c r="C215" s="8"/>
      <c r="E215" s="81">
        <v>41365</v>
      </c>
      <c r="F215" s="3">
        <v>0</v>
      </c>
      <c r="G215" s="12">
        <f>C216+(C214-C216)*H215/(H215+I215)</f>
        <v>486155.81645569619</v>
      </c>
      <c r="H215" s="25">
        <f>60*(24-18)-35</f>
        <v>325</v>
      </c>
      <c r="I215" s="25">
        <f>7*60+45</f>
        <v>465</v>
      </c>
      <c r="J215" s="3"/>
    </row>
    <row r="216" spans="1:14">
      <c r="A216" s="82">
        <v>41364</v>
      </c>
      <c r="B216" s="3">
        <v>0.77430555555555547</v>
      </c>
      <c r="C216" s="8">
        <v>485888</v>
      </c>
      <c r="E216" s="81"/>
      <c r="H216" s="8"/>
      <c r="I216" s="8"/>
    </row>
    <row r="217" spans="1:14">
      <c r="A217" s="82">
        <v>41364</v>
      </c>
      <c r="B217" s="3">
        <v>0.39930555555555558</v>
      </c>
      <c r="C217" s="8">
        <v>485767</v>
      </c>
      <c r="E217" s="81"/>
      <c r="H217" s="8"/>
      <c r="I217" s="8"/>
    </row>
    <row r="218" spans="1:14">
      <c r="A218" s="82">
        <v>41362</v>
      </c>
      <c r="B218" s="3">
        <v>0.57500000000000007</v>
      </c>
      <c r="C218" s="8">
        <v>485368</v>
      </c>
      <c r="E218" s="81"/>
      <c r="H218" s="8"/>
      <c r="I218" s="8"/>
      <c r="N218" s="1"/>
    </row>
    <row r="219" spans="1:14">
      <c r="A219" s="82">
        <v>41354</v>
      </c>
      <c r="B219" s="3">
        <v>0.73055555555555562</v>
      </c>
      <c r="C219" s="8">
        <v>479579</v>
      </c>
      <c r="E219" s="81"/>
      <c r="H219" s="8"/>
      <c r="I219" s="8"/>
    </row>
    <row r="220" spans="1:14">
      <c r="A220" s="82">
        <v>41334</v>
      </c>
      <c r="B220" s="3">
        <v>0.45347222222222222</v>
      </c>
      <c r="C220" s="8">
        <v>460197</v>
      </c>
      <c r="E220" s="81"/>
      <c r="H220" s="8"/>
      <c r="I220" s="8"/>
    </row>
    <row r="221" spans="1:14">
      <c r="A221" s="82"/>
      <c r="B221" s="3"/>
      <c r="C221" s="8"/>
      <c r="E221" s="81">
        <v>41334</v>
      </c>
      <c r="F221" s="3">
        <v>0</v>
      </c>
      <c r="G221" s="12">
        <f>C222+(C220-C222)*H221/(H221+I221)</f>
        <v>460077.63440860214</v>
      </c>
      <c r="H221" s="25">
        <f>43+7*60</f>
        <v>463</v>
      </c>
      <c r="I221" s="25">
        <f>10*60+53</f>
        <v>653</v>
      </c>
      <c r="J221" s="3"/>
    </row>
    <row r="222" spans="1:14">
      <c r="A222" s="82">
        <v>41333</v>
      </c>
      <c r="B222" s="3">
        <v>0.67847222222222225</v>
      </c>
      <c r="C222" s="8">
        <v>459993</v>
      </c>
      <c r="E222" s="81"/>
      <c r="H222" s="8"/>
      <c r="I222" s="8"/>
    </row>
    <row r="223" spans="1:14">
      <c r="A223" s="82">
        <v>41330</v>
      </c>
      <c r="B223" s="3">
        <v>0.3923611111111111</v>
      </c>
      <c r="C223" s="8">
        <v>458087</v>
      </c>
      <c r="E223" s="81"/>
      <c r="H223" s="8"/>
      <c r="I223" s="8"/>
      <c r="N223" s="1"/>
    </row>
    <row r="224" spans="1:14">
      <c r="A224" s="82">
        <v>41317</v>
      </c>
      <c r="B224" s="3">
        <v>0.85972222222222217</v>
      </c>
      <c r="C224" s="8">
        <v>447109</v>
      </c>
      <c r="E224" s="81"/>
      <c r="H224" s="8"/>
      <c r="I224" s="8"/>
    </row>
    <row r="225" spans="1:22">
      <c r="A225" s="82">
        <v>41306</v>
      </c>
      <c r="B225" s="3">
        <v>0.29652777777777778</v>
      </c>
      <c r="C225" s="8">
        <v>442362</v>
      </c>
      <c r="E225" s="81"/>
      <c r="H225" s="8"/>
      <c r="I225" s="8"/>
    </row>
    <row r="226" spans="1:22">
      <c r="A226" s="82"/>
      <c r="B226" s="3"/>
      <c r="C226" s="8"/>
      <c r="E226" s="81">
        <v>41306</v>
      </c>
      <c r="F226" s="3">
        <v>0</v>
      </c>
      <c r="G226" s="12">
        <f>C227+(C225-C227)*H226/(H226+I226)</f>
        <v>441797.38089171972</v>
      </c>
      <c r="H226" s="25">
        <f>6*60-2</f>
        <v>358</v>
      </c>
      <c r="I226" s="25">
        <f>7+7*60</f>
        <v>427</v>
      </c>
      <c r="J226" s="3"/>
    </row>
    <row r="227" spans="1:22">
      <c r="A227" s="82">
        <v>41305</v>
      </c>
      <c r="B227" s="3">
        <v>0.75138888888888899</v>
      </c>
      <c r="C227" s="8">
        <v>441324</v>
      </c>
      <c r="E227" s="81"/>
      <c r="H227" s="8"/>
      <c r="I227" s="8"/>
    </row>
    <row r="228" spans="1:22">
      <c r="A228" s="82">
        <v>41305</v>
      </c>
      <c r="B228" s="3">
        <v>0.28125</v>
      </c>
      <c r="C228" s="8">
        <v>440338</v>
      </c>
      <c r="E228" s="81"/>
      <c r="H228" s="8"/>
      <c r="I228" s="8"/>
    </row>
    <row r="229" spans="1:22">
      <c r="A229" s="82">
        <v>41299</v>
      </c>
      <c r="B229" s="3">
        <v>0.30138888888888887</v>
      </c>
      <c r="C229" s="8">
        <v>436138</v>
      </c>
      <c r="E229" s="81"/>
      <c r="H229" s="8"/>
      <c r="I229" s="8"/>
    </row>
    <row r="230" spans="1:22">
      <c r="A230" s="82">
        <v>41288</v>
      </c>
      <c r="B230" s="3">
        <v>0.48402777777777778</v>
      </c>
      <c r="C230" s="8">
        <v>427393</v>
      </c>
      <c r="E230" s="81"/>
      <c r="H230" s="8"/>
      <c r="I230" s="8"/>
    </row>
    <row r="231" spans="1:22">
      <c r="A231" s="82">
        <v>41275</v>
      </c>
      <c r="B231" s="3">
        <v>0.36805555555555558</v>
      </c>
      <c r="C231" s="8">
        <v>421445</v>
      </c>
      <c r="E231" s="81"/>
      <c r="H231" s="8"/>
      <c r="I231" s="8"/>
      <c r="U231" s="8"/>
      <c r="V231" s="8"/>
    </row>
    <row r="232" spans="1:22">
      <c r="A232" s="82"/>
      <c r="E232" s="81">
        <v>41275</v>
      </c>
      <c r="F232" s="3">
        <v>0</v>
      </c>
      <c r="G232" s="12">
        <f>C234+(C231-C234)*H232/(H232+I232)</f>
        <v>421397.03619909502</v>
      </c>
      <c r="H232" s="25">
        <f>35+9*60</f>
        <v>575</v>
      </c>
      <c r="I232" s="25">
        <f>8*60+50</f>
        <v>530</v>
      </c>
      <c r="J232" s="3"/>
      <c r="U232" s="8"/>
      <c r="V232" s="8"/>
    </row>
    <row r="233" spans="1:22">
      <c r="A233" s="83"/>
      <c r="B233" s="33"/>
      <c r="C233" s="33"/>
      <c r="D233" s="33"/>
      <c r="E233" s="81"/>
      <c r="F233" s="33"/>
      <c r="G233" s="33"/>
      <c r="H233" s="34"/>
      <c r="I233" s="34"/>
      <c r="J233" s="33"/>
      <c r="U233" s="8"/>
      <c r="V233" s="8"/>
    </row>
    <row r="234" spans="1:22">
      <c r="A234" s="82">
        <v>41274</v>
      </c>
      <c r="B234" s="3">
        <v>0.60069444444444442</v>
      </c>
      <c r="C234" s="8">
        <v>421345</v>
      </c>
      <c r="E234" s="81"/>
      <c r="H234" s="8"/>
      <c r="I234" s="8"/>
      <c r="U234" s="8"/>
      <c r="V234" s="8"/>
    </row>
    <row r="235" spans="1:22">
      <c r="A235" s="82">
        <v>45288</v>
      </c>
      <c r="B235" s="3">
        <v>0.2986111111111111</v>
      </c>
      <c r="C235" s="8">
        <v>417351</v>
      </c>
      <c r="E235" s="81"/>
      <c r="H235" s="8"/>
      <c r="I235" s="8"/>
    </row>
    <row r="236" spans="1:22">
      <c r="A236" s="82">
        <v>41257</v>
      </c>
      <c r="B236" s="3">
        <v>0.41736111111111113</v>
      </c>
      <c r="C236" s="8">
        <v>411575</v>
      </c>
      <c r="E236" s="81"/>
      <c r="H236" s="8"/>
      <c r="I236" s="8"/>
    </row>
    <row r="237" spans="1:22">
      <c r="A237" s="82">
        <v>41244</v>
      </c>
      <c r="B237" s="3">
        <v>0.71527777777777779</v>
      </c>
      <c r="C237" s="8">
        <v>400468</v>
      </c>
      <c r="E237" s="81"/>
      <c r="H237" s="8"/>
      <c r="I237" s="8"/>
    </row>
    <row r="238" spans="1:22">
      <c r="A238" s="82"/>
      <c r="E238" s="81">
        <v>41244</v>
      </c>
      <c r="F238" s="3">
        <v>0</v>
      </c>
      <c r="G238" s="12">
        <f>C239+(C237-C239)*H238/(H238+I238)</f>
        <v>400240.79411764705</v>
      </c>
      <c r="H238" s="25">
        <f>10+11*60</f>
        <v>670</v>
      </c>
      <c r="I238" s="25">
        <f>17*60+10</f>
        <v>1030</v>
      </c>
      <c r="J238" s="3"/>
    </row>
    <row r="239" spans="1:22">
      <c r="A239" s="82">
        <v>41243</v>
      </c>
      <c r="B239" s="3">
        <v>0.53472222222222221</v>
      </c>
      <c r="C239" s="8">
        <v>400093</v>
      </c>
      <c r="E239" s="81"/>
      <c r="H239" s="8"/>
      <c r="I239" s="8"/>
    </row>
    <row r="240" spans="1:22">
      <c r="A240" s="82">
        <v>41240</v>
      </c>
      <c r="B240" s="3">
        <v>0.6333333333333333</v>
      </c>
      <c r="C240" s="8">
        <v>398060</v>
      </c>
      <c r="E240" s="81"/>
      <c r="H240" s="8"/>
      <c r="I240" s="8"/>
    </row>
    <row r="241" spans="1:20">
      <c r="A241" s="82">
        <v>41214</v>
      </c>
      <c r="B241" s="3">
        <v>0.29930555555555555</v>
      </c>
      <c r="C241" s="8">
        <v>380281</v>
      </c>
      <c r="E241" s="81"/>
      <c r="H241" s="8"/>
      <c r="I241" s="8"/>
    </row>
    <row r="242" spans="1:20">
      <c r="A242" s="82"/>
      <c r="E242" s="81">
        <v>41214</v>
      </c>
      <c r="F242" s="3">
        <v>0</v>
      </c>
      <c r="G242" s="12">
        <f>C243+(C241-C243)*H242/(H242+I242)</f>
        <v>380237.71179039299</v>
      </c>
      <c r="H242" s="25">
        <f>8*60+5</f>
        <v>485</v>
      </c>
      <c r="I242" s="25">
        <f>7*60+11</f>
        <v>431</v>
      </c>
      <c r="J242" s="3"/>
    </row>
    <row r="243" spans="1:20">
      <c r="A243" s="82">
        <v>41213</v>
      </c>
      <c r="B243" s="3">
        <v>0.66319444444444442</v>
      </c>
      <c r="C243" s="8">
        <v>380189</v>
      </c>
      <c r="E243" s="81"/>
      <c r="H243" s="8"/>
      <c r="I243" s="8"/>
    </row>
    <row r="244" spans="1:20">
      <c r="A244" s="82">
        <v>41211</v>
      </c>
      <c r="B244" s="3">
        <v>0.6875</v>
      </c>
      <c r="C244" s="8">
        <v>379818</v>
      </c>
      <c r="E244" s="81"/>
      <c r="H244" s="8"/>
      <c r="I244" s="8"/>
    </row>
    <row r="245" spans="1:20">
      <c r="A245" s="82">
        <v>41201</v>
      </c>
      <c r="B245" s="3">
        <v>0.44444444444444442</v>
      </c>
      <c r="C245" s="28">
        <v>373.899</v>
      </c>
      <c r="E245" s="81"/>
      <c r="H245" s="8"/>
      <c r="I245" s="8"/>
    </row>
    <row r="246" spans="1:20">
      <c r="A246" s="82">
        <v>41183</v>
      </c>
      <c r="B246" s="3">
        <v>0.31111111111111112</v>
      </c>
      <c r="C246" s="8">
        <v>365396</v>
      </c>
      <c r="E246" s="81"/>
      <c r="H246" s="8"/>
      <c r="I246" s="8"/>
    </row>
    <row r="247" spans="1:20">
      <c r="A247" s="82"/>
      <c r="E247" s="81">
        <v>41183</v>
      </c>
      <c r="F247" s="3">
        <v>0</v>
      </c>
      <c r="G247" s="12">
        <f>C248+(C246-C248)*H247/(H247+I247)</f>
        <v>365224.53019607841</v>
      </c>
      <c r="H247" s="25">
        <f>13*60+47</f>
        <v>827</v>
      </c>
      <c r="I247" s="25">
        <f>7*60+28</f>
        <v>448</v>
      </c>
      <c r="J247" s="3"/>
    </row>
    <row r="248" spans="1:20">
      <c r="A248" s="82">
        <v>41182</v>
      </c>
      <c r="B248" s="3">
        <v>0.42569444444444443</v>
      </c>
      <c r="C248" s="8">
        <v>364908</v>
      </c>
      <c r="E248" s="81"/>
      <c r="H248" s="8"/>
      <c r="I248" s="8"/>
    </row>
    <row r="249" spans="1:20">
      <c r="A249" s="82">
        <v>41180</v>
      </c>
      <c r="B249" s="3">
        <v>0.73263888888888884</v>
      </c>
      <c r="C249" s="8">
        <v>364506</v>
      </c>
      <c r="E249" s="81"/>
      <c r="H249" s="8"/>
      <c r="I249" s="8"/>
    </row>
    <row r="250" spans="1:20">
      <c r="A250" s="82">
        <v>41177</v>
      </c>
      <c r="B250" s="3">
        <v>0.60069444444444442</v>
      </c>
      <c r="C250" s="8">
        <v>362757</v>
      </c>
      <c r="E250" s="81"/>
      <c r="H250" s="8"/>
      <c r="I250" s="8"/>
    </row>
    <row r="251" spans="1:20">
      <c r="A251" s="82">
        <v>41153</v>
      </c>
      <c r="B251" s="3">
        <v>0.84722222222222221</v>
      </c>
      <c r="C251" s="8">
        <v>353606</v>
      </c>
      <c r="E251" s="81"/>
      <c r="H251" s="8"/>
      <c r="I251" s="8"/>
    </row>
    <row r="252" spans="1:20">
      <c r="A252" s="82"/>
      <c r="E252" s="81">
        <v>41153</v>
      </c>
      <c r="F252" s="3">
        <v>0</v>
      </c>
      <c r="G252" s="12">
        <f>C253+(C251-C253)*H252/(H252+I252)</f>
        <v>352993.45074626867</v>
      </c>
      <c r="H252" s="25">
        <f>7*60+35</f>
        <v>455</v>
      </c>
      <c r="I252" s="25">
        <f>20*60+20</f>
        <v>1220</v>
      </c>
      <c r="J252" s="3"/>
      <c r="R252" s="1"/>
      <c r="S252" s="3"/>
      <c r="T252" s="12"/>
    </row>
    <row r="253" spans="1:20">
      <c r="A253" s="82">
        <v>41152</v>
      </c>
      <c r="B253" s="3">
        <v>0.68402777777777779</v>
      </c>
      <c r="C253" s="8">
        <v>352765</v>
      </c>
      <c r="E253" s="81"/>
      <c r="H253" s="8"/>
      <c r="I253" s="8"/>
    </row>
    <row r="254" spans="1:20">
      <c r="A254" s="82">
        <v>41150</v>
      </c>
      <c r="B254" s="3">
        <v>0.32500000000000001</v>
      </c>
      <c r="C254" s="8">
        <v>351575</v>
      </c>
      <c r="E254" s="81"/>
      <c r="H254" s="8"/>
      <c r="I254" s="8"/>
    </row>
    <row r="255" spans="1:20">
      <c r="A255" s="82">
        <v>41136</v>
      </c>
      <c r="B255" s="3">
        <v>0.5708333333333333</v>
      </c>
      <c r="C255" s="8">
        <v>349428</v>
      </c>
      <c r="E255" s="81"/>
      <c r="H255" s="8"/>
      <c r="I255" s="8"/>
    </row>
    <row r="256" spans="1:20">
      <c r="A256" s="82">
        <v>41122</v>
      </c>
      <c r="B256" s="3">
        <v>0.25694444444444448</v>
      </c>
      <c r="C256" s="8">
        <v>345257</v>
      </c>
      <c r="E256" s="81"/>
      <c r="H256" s="8"/>
      <c r="I256" s="8"/>
    </row>
    <row r="257" spans="1:23">
      <c r="A257" s="82"/>
      <c r="E257" s="81">
        <v>41122</v>
      </c>
      <c r="F257" s="3">
        <v>0</v>
      </c>
      <c r="G257" s="12">
        <f>C258+(C256-C258)*H257/(H257+I257)</f>
        <v>345151.68690702086</v>
      </c>
      <c r="H257" s="8">
        <f>37+120</f>
        <v>157</v>
      </c>
      <c r="I257" s="8">
        <f>6*60+10</f>
        <v>370</v>
      </c>
      <c r="J257" s="3"/>
      <c r="O257" s="1"/>
      <c r="V257" s="8"/>
      <c r="W257" s="8"/>
    </row>
    <row r="258" spans="1:23">
      <c r="A258" s="82">
        <v>41121</v>
      </c>
      <c r="B258" s="3">
        <v>0.39097222222222222</v>
      </c>
      <c r="C258" s="8">
        <v>345107</v>
      </c>
      <c r="E258" s="81"/>
      <c r="H258" s="8"/>
      <c r="I258" s="8"/>
      <c r="V258" s="8"/>
      <c r="W258" s="8"/>
    </row>
    <row r="259" spans="1:23">
      <c r="A259" s="82">
        <v>41120</v>
      </c>
      <c r="B259" s="3">
        <v>0.3263888888888889</v>
      </c>
      <c r="C259" s="8">
        <v>344693</v>
      </c>
      <c r="E259" s="81"/>
      <c r="H259" s="8"/>
      <c r="I259" s="8"/>
      <c r="V259" s="8"/>
      <c r="W259" s="8"/>
    </row>
    <row r="260" spans="1:23">
      <c r="A260" s="82">
        <v>41107</v>
      </c>
      <c r="B260" s="3">
        <v>0.48958333333333331</v>
      </c>
      <c r="C260" s="8">
        <v>339692</v>
      </c>
      <c r="E260" s="81"/>
      <c r="H260" s="8"/>
      <c r="I260" s="8"/>
    </row>
    <row r="261" spans="1:23">
      <c r="A261" s="82">
        <v>41091</v>
      </c>
      <c r="B261" s="3">
        <v>0.28472222222222221</v>
      </c>
      <c r="C261" s="8">
        <v>336084</v>
      </c>
      <c r="E261" s="81"/>
      <c r="H261" s="8"/>
      <c r="I261" s="8"/>
      <c r="V261" s="8"/>
      <c r="W261" s="8"/>
    </row>
    <row r="262" spans="1:23">
      <c r="A262" s="82"/>
      <c r="E262" s="81">
        <v>41091</v>
      </c>
      <c r="F262" s="3">
        <v>0</v>
      </c>
      <c r="G262" s="12">
        <f>C263+(C261-C263)*H262/(H262+I262)</f>
        <v>336001.86101694917</v>
      </c>
      <c r="H262" s="8">
        <f>1440+20+18*60</f>
        <v>2540</v>
      </c>
      <c r="I262" s="8">
        <f>6*60+50</f>
        <v>410</v>
      </c>
      <c r="J262" s="3"/>
      <c r="V262" s="8"/>
      <c r="W262" s="8"/>
    </row>
    <row r="263" spans="1:23">
      <c r="A263" s="82">
        <v>41089</v>
      </c>
      <c r="B263" s="3">
        <v>0.23611111111111113</v>
      </c>
      <c r="C263" s="8">
        <v>335493</v>
      </c>
      <c r="E263" s="81"/>
      <c r="H263" s="8"/>
      <c r="I263" s="8"/>
      <c r="V263" s="8"/>
      <c r="W263" s="8"/>
    </row>
    <row r="264" spans="1:23">
      <c r="A264" s="82">
        <v>41080</v>
      </c>
      <c r="B264" s="3">
        <v>0.31388888888888888</v>
      </c>
      <c r="C264" s="8">
        <v>332141</v>
      </c>
      <c r="E264" s="81"/>
      <c r="H264" s="8"/>
      <c r="I264" s="8"/>
      <c r="V264" s="8"/>
      <c r="W264" s="8"/>
    </row>
    <row r="265" spans="1:23">
      <c r="A265" s="82"/>
      <c r="E265" s="81"/>
      <c r="H265" s="8"/>
      <c r="I265" s="8"/>
    </row>
    <row r="266" spans="1:23">
      <c r="A266" s="82">
        <v>41061</v>
      </c>
      <c r="B266" s="3">
        <v>0.27777777777777779</v>
      </c>
      <c r="C266" s="8">
        <v>322755</v>
      </c>
      <c r="E266" s="81"/>
      <c r="H266" s="8"/>
      <c r="I266" s="8"/>
      <c r="U266" s="8"/>
      <c r="V266" s="8"/>
    </row>
    <row r="267" spans="1:23">
      <c r="A267" s="82"/>
      <c r="E267" s="81">
        <v>41061</v>
      </c>
      <c r="F267" s="3">
        <v>0</v>
      </c>
      <c r="G267" s="12">
        <f>C268+(C266-C268)*H267/(H267+I267)</f>
        <v>322692.51783166907</v>
      </c>
      <c r="H267" s="10">
        <f>16*60+42</f>
        <v>1002</v>
      </c>
      <c r="I267" s="10">
        <f>6*60+40</f>
        <v>400</v>
      </c>
      <c r="J267" s="3"/>
      <c r="U267" s="8"/>
      <c r="V267" s="8"/>
    </row>
    <row r="268" spans="1:23">
      <c r="A268" s="82">
        <v>41060</v>
      </c>
      <c r="B268" s="3">
        <v>0.30416666666666664</v>
      </c>
      <c r="C268" s="8">
        <v>322536</v>
      </c>
      <c r="E268" s="81"/>
      <c r="H268" s="8"/>
      <c r="I268" s="8"/>
      <c r="U268" s="8"/>
      <c r="V268" s="8"/>
    </row>
    <row r="269" spans="1:23">
      <c r="A269" s="82">
        <v>41059</v>
      </c>
      <c r="B269" s="3">
        <v>0.63472222222222219</v>
      </c>
      <c r="C269" s="8">
        <v>322527</v>
      </c>
      <c r="E269" s="81"/>
      <c r="H269" s="8"/>
      <c r="I269" s="8"/>
      <c r="U269" s="8"/>
      <c r="V269" s="8"/>
    </row>
    <row r="270" spans="1:23">
      <c r="A270" s="82">
        <v>41042</v>
      </c>
      <c r="B270" s="3">
        <v>0.39583333333333331</v>
      </c>
      <c r="C270" s="8">
        <v>316347</v>
      </c>
      <c r="E270" s="81"/>
      <c r="H270" s="8"/>
      <c r="I270" s="8"/>
    </row>
    <row r="271" spans="1:23">
      <c r="A271" s="82">
        <v>41030</v>
      </c>
      <c r="B271" s="3">
        <v>0.28263888888888888</v>
      </c>
      <c r="C271" s="8">
        <v>310106</v>
      </c>
      <c r="E271" s="81"/>
      <c r="U271" s="8"/>
      <c r="V271" s="8"/>
    </row>
    <row r="272" spans="1:23">
      <c r="A272" s="82"/>
      <c r="E272" s="81">
        <v>41030</v>
      </c>
      <c r="F272" s="3">
        <v>0</v>
      </c>
      <c r="G272" s="12">
        <f>C273+(C271-C273)*H272/(H272+I272)</f>
        <v>310041.72057706909</v>
      </c>
      <c r="H272" s="10">
        <f>10+15*60</f>
        <v>910</v>
      </c>
      <c r="I272" s="10">
        <f>6*60+47</f>
        <v>407</v>
      </c>
      <c r="J272" s="3"/>
      <c r="U272" s="8"/>
      <c r="V272" s="8"/>
    </row>
    <row r="273" spans="1:22">
      <c r="A273" s="82">
        <v>41029</v>
      </c>
      <c r="B273" s="3">
        <v>0.36805555555555558</v>
      </c>
      <c r="C273" s="8">
        <v>309898</v>
      </c>
      <c r="E273" s="81"/>
      <c r="F273" s="3"/>
      <c r="G273" s="3"/>
      <c r="H273" s="8"/>
      <c r="I273" s="8"/>
      <c r="J273" s="3"/>
      <c r="U273" s="8"/>
      <c r="V273" s="8"/>
    </row>
    <row r="274" spans="1:22">
      <c r="A274" s="82">
        <v>41025</v>
      </c>
      <c r="B274" s="3">
        <v>0.39027777777777778</v>
      </c>
      <c r="C274" s="8">
        <v>306412</v>
      </c>
      <c r="E274" s="81"/>
      <c r="F274" s="3"/>
      <c r="G274" s="3"/>
      <c r="H274" s="8"/>
      <c r="I274" s="8"/>
      <c r="J274" s="3"/>
      <c r="U274" s="8"/>
      <c r="V274" s="8"/>
    </row>
    <row r="275" spans="1:22">
      <c r="A275" s="82">
        <v>41009</v>
      </c>
      <c r="B275" s="3">
        <v>0.38541666666666669</v>
      </c>
      <c r="C275" s="8">
        <v>298133</v>
      </c>
      <c r="E275" s="81"/>
      <c r="F275" s="3"/>
      <c r="G275" s="3"/>
      <c r="H275" s="8"/>
      <c r="I275" s="8"/>
      <c r="J275" s="3"/>
    </row>
    <row r="276" spans="1:22">
      <c r="A276" s="82">
        <v>41008</v>
      </c>
      <c r="B276" s="3">
        <v>0.46180555555555558</v>
      </c>
      <c r="C276" s="8">
        <v>297379</v>
      </c>
      <c r="E276" s="81"/>
      <c r="F276" s="3"/>
      <c r="G276" s="3"/>
      <c r="H276" s="8"/>
      <c r="I276" s="8"/>
      <c r="J276" s="3"/>
    </row>
    <row r="277" spans="1:22">
      <c r="A277" s="82">
        <v>41002</v>
      </c>
      <c r="B277" s="3">
        <v>0.64583333333333337</v>
      </c>
      <c r="C277" s="8">
        <v>295293</v>
      </c>
      <c r="E277" s="81"/>
      <c r="F277" s="3"/>
      <c r="G277" s="3"/>
      <c r="H277" s="8"/>
      <c r="I277" s="8"/>
      <c r="J277" s="3"/>
    </row>
    <row r="278" spans="1:22">
      <c r="A278" s="82"/>
      <c r="E278" s="81">
        <v>41000</v>
      </c>
      <c r="F278" s="3">
        <v>0</v>
      </c>
      <c r="G278" s="8">
        <f>C279+(C276-C279)*H278/(H278+I278)</f>
        <v>295075.62967741938</v>
      </c>
      <c r="H278" s="10">
        <f>15+10*60+5*1440</f>
        <v>7815</v>
      </c>
      <c r="I278" s="10">
        <f>30+15*60+2*1440</f>
        <v>3810</v>
      </c>
      <c r="J278" s="3"/>
    </row>
    <row r="279" spans="1:22">
      <c r="A279" s="82">
        <v>40994</v>
      </c>
      <c r="B279" s="3">
        <v>0.57291666666666663</v>
      </c>
      <c r="C279" s="8">
        <v>290351</v>
      </c>
      <c r="E279" s="81"/>
      <c r="F279" s="3"/>
      <c r="G279" s="3"/>
      <c r="H279" s="8"/>
      <c r="I279" s="8"/>
      <c r="J279" s="3"/>
    </row>
    <row r="280" spans="1:22">
      <c r="A280" s="82">
        <v>40990</v>
      </c>
      <c r="B280" s="3">
        <v>0.34722222222222227</v>
      </c>
      <c r="C280" s="8">
        <v>288086</v>
      </c>
      <c r="E280" s="81"/>
      <c r="F280" s="3"/>
      <c r="G280" s="3"/>
      <c r="H280" s="8"/>
      <c r="I280" s="8"/>
      <c r="J280" s="3"/>
    </row>
    <row r="281" spans="1:22">
      <c r="A281" s="82">
        <v>40982</v>
      </c>
      <c r="B281" s="3">
        <v>0.3840277777777778</v>
      </c>
      <c r="C281" s="8">
        <v>285798</v>
      </c>
      <c r="E281" s="81"/>
      <c r="F281" s="3"/>
      <c r="G281" s="3"/>
      <c r="H281" s="8"/>
      <c r="I281" s="8"/>
      <c r="J281" s="3"/>
    </row>
    <row r="282" spans="1:22">
      <c r="A282" s="82">
        <v>40973</v>
      </c>
      <c r="B282" s="3">
        <v>0.52083333333333337</v>
      </c>
      <c r="C282" s="8">
        <v>277269</v>
      </c>
      <c r="E282" s="81"/>
      <c r="F282" s="3"/>
      <c r="G282" s="3"/>
      <c r="H282" s="8"/>
      <c r="I282" s="8"/>
      <c r="J282" s="3"/>
    </row>
    <row r="283" spans="1:22">
      <c r="A283" s="82"/>
      <c r="E283" s="81">
        <v>40969</v>
      </c>
      <c r="F283" s="3">
        <v>0</v>
      </c>
      <c r="G283" s="8">
        <f>C284+(C282-C284)*H283/(H283+I283)</f>
        <v>273888.03710956621</v>
      </c>
      <c r="H283" s="10">
        <f>0+14*60+1440*2</f>
        <v>3720</v>
      </c>
      <c r="I283" s="10">
        <f>13+12*60+4*1440</f>
        <v>6493</v>
      </c>
      <c r="J283" s="3"/>
    </row>
    <row r="284" spans="1:22">
      <c r="A284" s="82">
        <v>40966</v>
      </c>
      <c r="B284" s="3">
        <v>0.375</v>
      </c>
      <c r="C284" s="8">
        <v>271951</v>
      </c>
      <c r="E284" s="81"/>
    </row>
    <row r="285" spans="1:22">
      <c r="A285" s="82">
        <v>40949</v>
      </c>
      <c r="B285" s="3">
        <v>0.45833333333333331</v>
      </c>
      <c r="C285" s="8">
        <v>260309</v>
      </c>
      <c r="E285" s="81"/>
      <c r="F285" s="3"/>
      <c r="G285" s="3"/>
      <c r="H285" s="8"/>
      <c r="I285" s="8"/>
      <c r="J285" s="3"/>
    </row>
    <row r="286" spans="1:22">
      <c r="A286" s="82"/>
      <c r="E286" s="81">
        <v>40940</v>
      </c>
      <c r="F286" s="3">
        <v>0</v>
      </c>
      <c r="G286" s="8">
        <f>C287+(C285-C287)*H286/(H286+I286)</f>
        <v>255320.70728281481</v>
      </c>
      <c r="H286" s="10">
        <f>19+10*60+1440*0</f>
        <v>619</v>
      </c>
      <c r="I286" s="10">
        <f>0+11*60+9*1440</f>
        <v>13620</v>
      </c>
      <c r="J286" s="3"/>
    </row>
    <row r="287" spans="1:22">
      <c r="A287" s="82">
        <v>40939</v>
      </c>
      <c r="B287" s="3">
        <v>0.57013888888888886</v>
      </c>
      <c r="C287" s="8">
        <v>255094</v>
      </c>
      <c r="E287" s="81"/>
    </row>
    <row r="288" spans="1:22">
      <c r="A288" s="82">
        <v>40925</v>
      </c>
      <c r="B288" s="3">
        <v>0.4694444444444445</v>
      </c>
      <c r="C288" s="8">
        <v>244634</v>
      </c>
      <c r="E288" s="81"/>
      <c r="H288" s="8"/>
      <c r="I288" s="8"/>
    </row>
    <row r="289" spans="1:22">
      <c r="A289" s="82"/>
      <c r="E289" s="81">
        <v>40909</v>
      </c>
      <c r="F289" s="3">
        <v>0</v>
      </c>
      <c r="G289" s="8">
        <f>C291+(C288-C291)*H289/(H289+I289)</f>
        <v>233237.02531645569</v>
      </c>
      <c r="H289" s="10">
        <f>0+12*60+1440*3</f>
        <v>5040</v>
      </c>
      <c r="I289" s="10">
        <f>16+11*60+16*1440</f>
        <v>23716</v>
      </c>
      <c r="J289" s="3"/>
    </row>
    <row r="290" spans="1:22">
      <c r="A290" s="83"/>
      <c r="B290" s="33"/>
      <c r="C290" s="33"/>
      <c r="D290" s="33"/>
      <c r="E290" s="81"/>
      <c r="F290" s="33"/>
      <c r="G290" s="33"/>
      <c r="H290" s="34"/>
      <c r="I290" s="34"/>
      <c r="J290" s="33"/>
    </row>
    <row r="291" spans="1:22">
      <c r="A291" s="82">
        <v>40905</v>
      </c>
      <c r="B291" s="3">
        <v>0.5</v>
      </c>
      <c r="C291" s="8">
        <v>230815</v>
      </c>
      <c r="E291" s="81"/>
    </row>
    <row r="292" spans="1:22">
      <c r="A292" s="82">
        <v>40879</v>
      </c>
      <c r="B292" s="3">
        <v>0.53472222222222221</v>
      </c>
      <c r="C292" s="8">
        <v>213839</v>
      </c>
      <c r="E292" s="81"/>
    </row>
    <row r="293" spans="1:22">
      <c r="A293" s="82"/>
      <c r="E293" s="81">
        <v>40878</v>
      </c>
      <c r="F293" s="3">
        <v>0</v>
      </c>
      <c r="G293" s="8">
        <f>C294+(C292-C294)*H293/(H293+I293)</f>
        <v>211604.66972477065</v>
      </c>
      <c r="H293" s="10">
        <f>15+9*60+1440*3</f>
        <v>4875</v>
      </c>
      <c r="I293" s="10">
        <f>50+12*60+1*1440</f>
        <v>2210</v>
      </c>
      <c r="J293" s="3"/>
    </row>
    <row r="294" spans="1:22">
      <c r="A294" s="82">
        <v>40868</v>
      </c>
      <c r="B294" s="3">
        <v>0.35416666666666669</v>
      </c>
      <c r="C294" s="8">
        <v>206676</v>
      </c>
      <c r="E294" s="81"/>
    </row>
    <row r="295" spans="1:22">
      <c r="A295" s="82">
        <v>40855</v>
      </c>
      <c r="B295" s="3">
        <v>0.55555555555555558</v>
      </c>
      <c r="C295" s="8">
        <v>195556</v>
      </c>
      <c r="E295" s="81"/>
      <c r="O295" s="3"/>
      <c r="P295" s="8"/>
    </row>
    <row r="296" spans="1:22">
      <c r="A296" s="82"/>
      <c r="E296" s="81">
        <v>40848</v>
      </c>
      <c r="F296" s="3">
        <v>0</v>
      </c>
      <c r="G296" s="8">
        <f>C297+(C295-C297)*H296/(H296+I296)</f>
        <v>189367.32391418106</v>
      </c>
      <c r="H296" s="10">
        <f>19+9*60+1440*4</f>
        <v>6319</v>
      </c>
      <c r="I296" s="10">
        <f>20+13*60+7*1440</f>
        <v>10880</v>
      </c>
      <c r="J296" s="3"/>
    </row>
    <row r="297" spans="1:22">
      <c r="A297" s="82">
        <v>40843</v>
      </c>
      <c r="B297" s="3">
        <v>0.6118055555555556</v>
      </c>
      <c r="C297" s="8">
        <v>185773</v>
      </c>
      <c r="E297" s="81"/>
    </row>
    <row r="298" spans="1:22">
      <c r="A298" s="82">
        <v>40837</v>
      </c>
      <c r="B298" s="3">
        <v>0.45833333333333331</v>
      </c>
      <c r="C298" s="8">
        <v>183579</v>
      </c>
      <c r="E298" s="81"/>
    </row>
    <row r="299" spans="1:22">
      <c r="A299" s="82"/>
      <c r="B299" s="3"/>
      <c r="C299" s="8"/>
      <c r="E299" s="81">
        <v>40817</v>
      </c>
      <c r="F299" s="3">
        <v>0</v>
      </c>
      <c r="G299" s="8">
        <f>C300+(C298-C300)*H299/(H299+I299)</f>
        <v>172200.69277899343</v>
      </c>
      <c r="H299" s="10">
        <f>15+8*60+1440*3</f>
        <v>4815</v>
      </c>
      <c r="I299" s="10">
        <f>0+11*60+20*1440</f>
        <v>29460</v>
      </c>
      <c r="J299" s="3"/>
      <c r="R299" s="1"/>
      <c r="U299" s="8"/>
      <c r="V299" s="8"/>
    </row>
    <row r="300" spans="1:22">
      <c r="A300" s="82">
        <v>40814</v>
      </c>
      <c r="B300" s="3">
        <v>0.65625</v>
      </c>
      <c r="C300" s="8">
        <v>170341</v>
      </c>
      <c r="E300" s="81"/>
      <c r="U300" s="8"/>
      <c r="V300" s="8"/>
    </row>
    <row r="301" spans="1:22">
      <c r="A301" s="33"/>
      <c r="B301" s="33"/>
      <c r="C301" s="33"/>
      <c r="D301" s="33"/>
      <c r="E301" s="81"/>
      <c r="F301" s="33"/>
      <c r="G301" s="33"/>
      <c r="H301" s="33"/>
      <c r="I301" s="33"/>
      <c r="J301" s="33"/>
      <c r="U301" s="8"/>
      <c r="V301" s="8"/>
    </row>
    <row r="302" spans="1:22">
      <c r="E302" s="81"/>
      <c r="U302" s="8"/>
      <c r="V302" s="8"/>
    </row>
    <row r="303" spans="1:22">
      <c r="E303" s="81"/>
    </row>
    <row r="304" spans="1:22">
      <c r="E304" s="81"/>
      <c r="U304" s="8"/>
      <c r="V304" s="8"/>
    </row>
    <row r="305" spans="5:22">
      <c r="E305" s="81"/>
      <c r="U305" s="8"/>
      <c r="V305" s="8"/>
    </row>
    <row r="306" spans="5:22">
      <c r="E306" s="81"/>
      <c r="U306" s="8"/>
      <c r="V306" s="8"/>
    </row>
    <row r="307" spans="5:22">
      <c r="E307" s="81"/>
    </row>
    <row r="308" spans="5:22">
      <c r="E308" s="81"/>
      <c r="U308" s="8"/>
      <c r="V308" s="8"/>
    </row>
    <row r="309" spans="5:22">
      <c r="E309" s="81"/>
      <c r="P309" s="12"/>
      <c r="U309" s="8"/>
      <c r="V309" s="8"/>
    </row>
    <row r="310" spans="5:22">
      <c r="E310" s="81"/>
      <c r="U310" s="8"/>
      <c r="V310" s="8"/>
    </row>
    <row r="311" spans="5:22">
      <c r="E311" s="81"/>
      <c r="U311" s="8"/>
      <c r="V311" s="8"/>
    </row>
    <row r="312" spans="5:22">
      <c r="E312" s="81"/>
    </row>
    <row r="313" spans="5:22">
      <c r="E313" s="81"/>
      <c r="U313" s="8"/>
      <c r="V313" s="8"/>
    </row>
    <row r="314" spans="5:22">
      <c r="E314" s="81"/>
      <c r="N314" s="1"/>
      <c r="U314" s="8"/>
      <c r="V314" s="8"/>
    </row>
    <row r="315" spans="5:22">
      <c r="E315" s="81"/>
      <c r="U315" s="8"/>
      <c r="V315" s="8"/>
    </row>
    <row r="316" spans="5:22">
      <c r="E316" s="81"/>
      <c r="U316" s="8"/>
      <c r="V316" s="8"/>
    </row>
    <row r="317" spans="5:22">
      <c r="E317" s="81"/>
    </row>
    <row r="318" spans="5:22">
      <c r="E318" s="81"/>
    </row>
    <row r="319" spans="5:22">
      <c r="E319" s="81"/>
    </row>
    <row r="320" spans="5:22">
      <c r="E320" s="81"/>
    </row>
    <row r="321" spans="5:22">
      <c r="E321" s="81"/>
    </row>
    <row r="322" spans="5:22">
      <c r="E322" s="81"/>
      <c r="N322" s="4"/>
    </row>
    <row r="323" spans="5:22">
      <c r="E323" s="81"/>
      <c r="O323" s="3"/>
      <c r="P323" s="8"/>
    </row>
    <row r="324" spans="5:22">
      <c r="E324" s="81"/>
      <c r="U324" s="8"/>
      <c r="V324" s="8"/>
    </row>
    <row r="325" spans="5:22">
      <c r="E325" s="81"/>
      <c r="U325" s="8"/>
      <c r="V325" s="8"/>
    </row>
    <row r="326" spans="5:22">
      <c r="E326" s="81"/>
    </row>
    <row r="327" spans="5:22">
      <c r="E327" s="81"/>
      <c r="U327" s="8"/>
      <c r="V327" s="8"/>
    </row>
    <row r="328" spans="5:22">
      <c r="E328" s="81"/>
      <c r="N328" s="4"/>
      <c r="U328" s="8"/>
      <c r="V328" s="8"/>
    </row>
    <row r="329" spans="5:22">
      <c r="E329" s="81"/>
      <c r="N329" s="4"/>
    </row>
    <row r="330" spans="5:22">
      <c r="E330" s="81"/>
      <c r="T330" s="8"/>
      <c r="U330" s="8"/>
      <c r="V330" s="8"/>
    </row>
    <row r="331" spans="5:22">
      <c r="E331" s="81"/>
      <c r="O331" s="3"/>
      <c r="P331" s="8"/>
      <c r="T331" s="8"/>
      <c r="U331" s="8"/>
      <c r="V331" s="8"/>
    </row>
    <row r="332" spans="5:22">
      <c r="E332" s="81"/>
      <c r="T332" s="8"/>
      <c r="U332" s="8"/>
      <c r="V332" s="8"/>
    </row>
    <row r="333" spans="5:22">
      <c r="E333" s="81"/>
    </row>
    <row r="335" spans="5:22">
      <c r="U335" s="8"/>
      <c r="V335" s="8"/>
    </row>
    <row r="336" spans="5:22">
      <c r="U336" s="8"/>
      <c r="V336" s="8"/>
    </row>
    <row r="337" spans="21:22">
      <c r="U337" s="8"/>
      <c r="V337" s="8"/>
    </row>
    <row r="338" spans="21:22">
      <c r="U338" s="8"/>
      <c r="V338" s="8"/>
    </row>
    <row r="339" spans="21:22">
      <c r="U339" s="8"/>
      <c r="V339" s="8"/>
    </row>
  </sheetData>
  <printOptions horizontalCentered="1" verticalCentered="1" gridLines="1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Output Summary</vt:lpstr>
      <vt:lpstr>Data</vt:lpstr>
      <vt:lpstr>Sheet3</vt:lpstr>
      <vt:lpstr>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Aronson</dc:creator>
  <cp:lastModifiedBy>lsinatra</cp:lastModifiedBy>
  <cp:lastPrinted>2015-10-04T13:49:48Z</cp:lastPrinted>
  <dcterms:created xsi:type="dcterms:W3CDTF">2012-03-14T15:04:41Z</dcterms:created>
  <dcterms:modified xsi:type="dcterms:W3CDTF">2015-12-10T19:42:53Z</dcterms:modified>
</cp:coreProperties>
</file>